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2790" windowWidth="9570" windowHeight="1995" tabRatio="643"/>
  </bookViews>
  <sheets>
    <sheet name="Rede ramificada" sheetId="13" r:id="rId1"/>
  </sheets>
  <definedNames>
    <definedName name="_xlnm._FilterDatabase" localSheetId="0" hidden="1">'Rede ramificada'!$A$7:$V$48</definedName>
    <definedName name="Código">#REF!</definedName>
    <definedName name="Comprimento_Equivalente">#REF!</definedName>
    <definedName name="DIAMETRO">'Rede ramificada'!$G$23:$G$47</definedName>
    <definedName name="Potencia">#REF!</definedName>
    <definedName name="_xlnm.Print_Titles" localSheetId="0">'Rede ramificada'!$1:$7</definedName>
    <definedName name="Valores">#REF!</definedName>
    <definedName name="Volume">#REF!</definedName>
  </definedNames>
  <calcPr calcId="124519"/>
</workbook>
</file>

<file path=xl/calcChain.xml><?xml version="1.0" encoding="utf-8"?>
<calcChain xmlns="http://schemas.openxmlformats.org/spreadsheetml/2006/main">
  <c r="E48" i="13"/>
  <c r="D55"/>
  <c r="F48" l="1"/>
  <c r="D54"/>
  <c r="D56" s="1"/>
  <c r="J48" l="1"/>
  <c r="H48"/>
  <c r="D26"/>
  <c r="D10"/>
  <c r="D15"/>
  <c r="E15" s="1"/>
  <c r="D33"/>
  <c r="D9"/>
  <c r="D27"/>
  <c r="D25"/>
  <c r="D24"/>
  <c r="D23"/>
  <c r="D46"/>
  <c r="D43"/>
  <c r="E43" s="1"/>
  <c r="D45"/>
  <c r="D42"/>
  <c r="D44"/>
  <c r="D39"/>
  <c r="E39" s="1"/>
  <c r="D40"/>
  <c r="D41"/>
  <c r="D29"/>
  <c r="D31"/>
  <c r="E31" s="1"/>
  <c r="C32" s="1"/>
  <c r="D34"/>
  <c r="D36"/>
  <c r="E36" s="1"/>
  <c r="D30"/>
  <c r="D32"/>
  <c r="D35"/>
  <c r="D37"/>
  <c r="D38"/>
  <c r="D14"/>
  <c r="D17"/>
  <c r="D19"/>
  <c r="E19" s="1"/>
  <c r="C20" s="1"/>
  <c r="D21"/>
  <c r="D13"/>
  <c r="D16"/>
  <c r="D18"/>
  <c r="D20"/>
  <c r="D22"/>
  <c r="D12"/>
  <c r="D28"/>
  <c r="D11"/>
  <c r="D8"/>
  <c r="E32" l="1"/>
  <c r="F32" s="1"/>
  <c r="G32" s="1"/>
  <c r="F36"/>
  <c r="G36" s="1"/>
  <c r="E20"/>
  <c r="F20" s="1"/>
  <c r="E9"/>
  <c r="F9" s="1"/>
  <c r="G9" s="1"/>
  <c r="F31"/>
  <c r="F39"/>
  <c r="F43"/>
  <c r="F15"/>
  <c r="G15" s="1"/>
  <c r="F19"/>
  <c r="E17"/>
  <c r="J32" l="1"/>
  <c r="G20"/>
  <c r="H20" s="1"/>
  <c r="G43"/>
  <c r="H43" s="1"/>
  <c r="G19"/>
  <c r="J19" s="1"/>
  <c r="H36"/>
  <c r="G39"/>
  <c r="J39" s="1"/>
  <c r="G31"/>
  <c r="J31" s="1"/>
  <c r="J9"/>
  <c r="H9"/>
  <c r="E13"/>
  <c r="F13" s="1"/>
  <c r="E42"/>
  <c r="C44" s="1"/>
  <c r="E44" s="1"/>
  <c r="E46"/>
  <c r="E34"/>
  <c r="C35" s="1"/>
  <c r="E35" s="1"/>
  <c r="C37" s="1"/>
  <c r="H15"/>
  <c r="F17"/>
  <c r="H32"/>
  <c r="J36"/>
  <c r="H39" l="1"/>
  <c r="J20"/>
  <c r="H19"/>
  <c r="H31"/>
  <c r="F44"/>
  <c r="G44" s="1"/>
  <c r="H44" s="1"/>
  <c r="F35"/>
  <c r="G35" s="1"/>
  <c r="J35" s="1"/>
  <c r="G13"/>
  <c r="H13" s="1"/>
  <c r="E37"/>
  <c r="C38" s="1"/>
  <c r="J43"/>
  <c r="G17"/>
  <c r="J17" s="1"/>
  <c r="F42"/>
  <c r="G42" s="1"/>
  <c r="F34"/>
  <c r="F46"/>
  <c r="G46" s="1"/>
  <c r="J15"/>
  <c r="H17" l="1"/>
  <c r="J13"/>
  <c r="H35"/>
  <c r="J44"/>
  <c r="F37"/>
  <c r="G37" s="1"/>
  <c r="G34"/>
  <c r="H34" s="1"/>
  <c r="E38"/>
  <c r="C40" s="1"/>
  <c r="E40" s="1"/>
  <c r="F40" s="1"/>
  <c r="J46"/>
  <c r="E26"/>
  <c r="C27" s="1"/>
  <c r="J42"/>
  <c r="J34" l="1"/>
  <c r="J37"/>
  <c r="H37"/>
  <c r="G40"/>
  <c r="H40" s="1"/>
  <c r="E27"/>
  <c r="C28" s="1"/>
  <c r="E28" s="1"/>
  <c r="F38"/>
  <c r="H42"/>
  <c r="H46"/>
  <c r="F26"/>
  <c r="G26" s="1"/>
  <c r="F27" l="1"/>
  <c r="G27" s="1"/>
  <c r="H27" s="1"/>
  <c r="F28"/>
  <c r="C29"/>
  <c r="E29" s="1"/>
  <c r="F29" s="1"/>
  <c r="G38"/>
  <c r="H38" s="1"/>
  <c r="J40"/>
  <c r="J26"/>
  <c r="E24"/>
  <c r="J38" l="1"/>
  <c r="J27"/>
  <c r="G29"/>
  <c r="J29" s="1"/>
  <c r="G28"/>
  <c r="J28" s="1"/>
  <c r="F24"/>
  <c r="H26"/>
  <c r="G24" l="1"/>
  <c r="H24" s="1"/>
  <c r="H28"/>
  <c r="H29"/>
  <c r="E22"/>
  <c r="J24" l="1"/>
  <c r="F22"/>
  <c r="G22" s="1"/>
  <c r="E11" l="1"/>
  <c r="E8" s="1"/>
  <c r="J22"/>
  <c r="F8" l="1"/>
  <c r="G8" s="1"/>
  <c r="J8" s="1"/>
  <c r="I8" s="1"/>
  <c r="K10" s="1"/>
  <c r="C10"/>
  <c r="H22"/>
  <c r="F11"/>
  <c r="G11" s="1"/>
  <c r="I9" l="1"/>
  <c r="N8"/>
  <c r="E10"/>
  <c r="C12" s="1"/>
  <c r="E12" s="1"/>
  <c r="H8"/>
  <c r="O8"/>
  <c r="J11"/>
  <c r="K9" l="1"/>
  <c r="O9" s="1"/>
  <c r="N9"/>
  <c r="F12"/>
  <c r="C14"/>
  <c r="F10"/>
  <c r="H11"/>
  <c r="G12" l="1"/>
  <c r="H12" s="1"/>
  <c r="E14"/>
  <c r="C16" s="1"/>
  <c r="G10"/>
  <c r="H10" s="1"/>
  <c r="J12" l="1"/>
  <c r="F14"/>
  <c r="J14" s="1"/>
  <c r="J10"/>
  <c r="E16"/>
  <c r="C18" s="1"/>
  <c r="E18" s="1"/>
  <c r="H14" l="1"/>
  <c r="O10"/>
  <c r="I10"/>
  <c r="F16"/>
  <c r="F18"/>
  <c r="G18" s="1"/>
  <c r="C21"/>
  <c r="I11" l="1"/>
  <c r="K12"/>
  <c r="N10"/>
  <c r="H16"/>
  <c r="J18"/>
  <c r="E21"/>
  <c r="C23" s="1"/>
  <c r="F21" l="1"/>
  <c r="K11"/>
  <c r="O11" s="1"/>
  <c r="N11"/>
  <c r="I12"/>
  <c r="O12"/>
  <c r="H18"/>
  <c r="E23"/>
  <c r="C25" s="1"/>
  <c r="J16"/>
  <c r="G21"/>
  <c r="H21" s="1"/>
  <c r="I13" l="1"/>
  <c r="K14"/>
  <c r="I14" s="1"/>
  <c r="N14" s="1"/>
  <c r="N12"/>
  <c r="J21"/>
  <c r="E25"/>
  <c r="C30" s="1"/>
  <c r="F23"/>
  <c r="K13" l="1"/>
  <c r="O13" s="1"/>
  <c r="N13"/>
  <c r="I15"/>
  <c r="K15" s="1"/>
  <c r="K16"/>
  <c r="G23"/>
  <c r="J23" s="1"/>
  <c r="F25"/>
  <c r="E30"/>
  <c r="C33" s="1"/>
  <c r="O14"/>
  <c r="F30" l="1"/>
  <c r="I16"/>
  <c r="O16"/>
  <c r="G25"/>
  <c r="J25" s="1"/>
  <c r="H23"/>
  <c r="E33"/>
  <c r="C41" s="1"/>
  <c r="O15"/>
  <c r="N15"/>
  <c r="G30" l="1"/>
  <c r="J30" s="1"/>
  <c r="I17"/>
  <c r="K18"/>
  <c r="N16"/>
  <c r="F33"/>
  <c r="G33" s="1"/>
  <c r="H33" s="1"/>
  <c r="H25"/>
  <c r="E41"/>
  <c r="C45" s="1"/>
  <c r="H30" l="1"/>
  <c r="F41"/>
  <c r="J41" s="1"/>
  <c r="K17"/>
  <c r="O17" s="1"/>
  <c r="N17"/>
  <c r="I18"/>
  <c r="O18"/>
  <c r="J33"/>
  <c r="E45"/>
  <c r="C47" s="1"/>
  <c r="I20" l="1"/>
  <c r="K21"/>
  <c r="I21" s="1"/>
  <c r="K23" s="1"/>
  <c r="E47"/>
  <c r="F47" s="1"/>
  <c r="H47" s="1"/>
  <c r="F45"/>
  <c r="J45" s="1"/>
  <c r="K20"/>
  <c r="I19" s="1"/>
  <c r="N18"/>
  <c r="H41"/>
  <c r="H45" l="1"/>
  <c r="J47"/>
  <c r="N19" l="1"/>
  <c r="K19"/>
  <c r="O19" s="1"/>
  <c r="N20" l="1"/>
  <c r="O20" l="1"/>
  <c r="I22" l="1"/>
  <c r="N21"/>
  <c r="O21"/>
  <c r="I23" l="1"/>
  <c r="K25" s="1"/>
  <c r="O23"/>
  <c r="K22"/>
  <c r="O22" s="1"/>
  <c r="N22"/>
  <c r="I24" l="1"/>
  <c r="N23"/>
  <c r="N24" l="1"/>
  <c r="K24"/>
  <c r="O24" s="1"/>
  <c r="I25"/>
  <c r="O25"/>
  <c r="K30" l="1"/>
  <c r="I29"/>
  <c r="N25"/>
  <c r="K29" l="1"/>
  <c r="N29"/>
  <c r="I30"/>
  <c r="O30"/>
  <c r="K33" l="1"/>
  <c r="I32"/>
  <c r="N30"/>
  <c r="I28"/>
  <c r="O29"/>
  <c r="I33" l="1"/>
  <c r="O33"/>
  <c r="K32"/>
  <c r="I31" s="1"/>
  <c r="N32"/>
  <c r="K28"/>
  <c r="N28"/>
  <c r="I40" l="1"/>
  <c r="K41"/>
  <c r="I41" s="1"/>
  <c r="K45" s="1"/>
  <c r="I45" s="1"/>
  <c r="I27"/>
  <c r="O28"/>
  <c r="O32"/>
  <c r="N33"/>
  <c r="I46" l="1"/>
  <c r="K46" s="1"/>
  <c r="K47"/>
  <c r="K40"/>
  <c r="N40"/>
  <c r="K27"/>
  <c r="N27"/>
  <c r="N31"/>
  <c r="K31"/>
  <c r="O31" s="1"/>
  <c r="I39" l="1"/>
  <c r="I38"/>
  <c r="O40"/>
  <c r="I44"/>
  <c r="N41"/>
  <c r="O41"/>
  <c r="I26"/>
  <c r="O27"/>
  <c r="I47" l="1"/>
  <c r="O47"/>
  <c r="K44"/>
  <c r="N44"/>
  <c r="K38"/>
  <c r="I37" s="1"/>
  <c r="N38"/>
  <c r="N39"/>
  <c r="K39"/>
  <c r="O39" s="1"/>
  <c r="K26"/>
  <c r="O26" s="1"/>
  <c r="N26"/>
  <c r="N46"/>
  <c r="O46"/>
  <c r="N47" l="1"/>
  <c r="J55"/>
  <c r="O45"/>
  <c r="N45"/>
  <c r="O44"/>
  <c r="I42"/>
  <c r="I43"/>
  <c r="O38"/>
  <c r="K42" l="1"/>
  <c r="O42" s="1"/>
  <c r="N42"/>
  <c r="K43"/>
  <c r="O43" s="1"/>
  <c r="N43"/>
  <c r="N37"/>
  <c r="K37"/>
  <c r="I36" s="1"/>
  <c r="O37" l="1"/>
  <c r="I35"/>
  <c r="N36" l="1"/>
  <c r="K36"/>
  <c r="N35"/>
  <c r="K35"/>
  <c r="O36" l="1"/>
  <c r="I48"/>
  <c r="I34"/>
  <c r="O35"/>
  <c r="K48" l="1"/>
  <c r="O48" s="1"/>
  <c r="N48"/>
  <c r="K34"/>
  <c r="O34" s="1"/>
  <c r="N34"/>
  <c r="J57" l="1"/>
  <c r="J58"/>
</calcChain>
</file>

<file path=xl/sharedStrings.xml><?xml version="1.0" encoding="utf-8"?>
<sst xmlns="http://schemas.openxmlformats.org/spreadsheetml/2006/main" count="104" uniqueCount="94">
  <si>
    <t>l/s</t>
  </si>
  <si>
    <t>m</t>
  </si>
  <si>
    <t>mm</t>
  </si>
  <si>
    <t>mca</t>
  </si>
  <si>
    <t>Comprimento</t>
  </si>
  <si>
    <t>Trecho</t>
  </si>
  <si>
    <t>Vazão (l/s)</t>
  </si>
  <si>
    <t>Diâmetro</t>
  </si>
  <si>
    <t>Velocidade</t>
  </si>
  <si>
    <t>Cota Piezométrica</t>
  </si>
  <si>
    <t>Perda de</t>
  </si>
  <si>
    <t>Cota do Terreno (m)</t>
  </si>
  <si>
    <t>Pressão Disponível</t>
  </si>
  <si>
    <t>Observações</t>
  </si>
  <si>
    <t>A Jusante</t>
  </si>
  <si>
    <t>Em Marcha</t>
  </si>
  <si>
    <t>A Montante</t>
  </si>
  <si>
    <t>Fictícia</t>
  </si>
  <si>
    <t>m/s</t>
  </si>
  <si>
    <t>A Montante (m)</t>
  </si>
  <si>
    <t>Carga (m)</t>
  </si>
  <si>
    <t>A Jusante (m)</t>
  </si>
  <si>
    <t>Parâmetros de Projeto:</t>
  </si>
  <si>
    <t>Vazão de distribuição</t>
  </si>
  <si>
    <t>l/s/m</t>
  </si>
  <si>
    <t>Coeficiente Hazen-Williams C</t>
  </si>
  <si>
    <t>Pressão mínima na rede</t>
  </si>
  <si>
    <t>DIÂMETRO</t>
  </si>
  <si>
    <t>METRAGEM</t>
  </si>
  <si>
    <t>(m)</t>
  </si>
  <si>
    <t>75 mm</t>
  </si>
  <si>
    <t>Pop.=</t>
  </si>
  <si>
    <t>K1=</t>
  </si>
  <si>
    <t>K2=</t>
  </si>
  <si>
    <t>q=</t>
  </si>
  <si>
    <t>hab.</t>
  </si>
  <si>
    <t>l/s.hab.</t>
  </si>
  <si>
    <t xml:space="preserve"> </t>
  </si>
  <si>
    <t>Vazão/metro de canalização (Rede projetada)</t>
  </si>
  <si>
    <t>50 mm</t>
  </si>
  <si>
    <t>100 mm</t>
  </si>
  <si>
    <t>150 mm</t>
  </si>
  <si>
    <t>COMPANHIA DE SANEAMENTO DO PARÁ - COSANPA</t>
  </si>
  <si>
    <t>PLANILHA DE CÁLCULO DE REDE DE DISTRIBUIÇÃO DE ÁGUA</t>
  </si>
  <si>
    <t>SISTEMA DE ABASTECIMENTO DE ÁGUA - RES. BENEDITO MONTEIRO</t>
  </si>
  <si>
    <t>36-34</t>
  </si>
  <si>
    <t>35-34</t>
  </si>
  <si>
    <t>34-32</t>
  </si>
  <si>
    <t>33-32</t>
  </si>
  <si>
    <t>32-30</t>
  </si>
  <si>
    <t>31-30</t>
  </si>
  <si>
    <t>30-28</t>
  </si>
  <si>
    <t>29-28</t>
  </si>
  <si>
    <t>28-26</t>
  </si>
  <si>
    <t>27-26</t>
  </si>
  <si>
    <t>26-25</t>
  </si>
  <si>
    <t>17-22</t>
  </si>
  <si>
    <t>22-25</t>
  </si>
  <si>
    <t>25-24</t>
  </si>
  <si>
    <t>21-24</t>
  </si>
  <si>
    <t>24-23</t>
  </si>
  <si>
    <t>20-23</t>
  </si>
  <si>
    <t>23-18</t>
  </si>
  <si>
    <t>22-21</t>
  </si>
  <si>
    <t>21-20</t>
  </si>
  <si>
    <t>20-19</t>
  </si>
  <si>
    <t>19-18</t>
  </si>
  <si>
    <t>18-15</t>
  </si>
  <si>
    <t>17-16</t>
  </si>
  <si>
    <t>16-15</t>
  </si>
  <si>
    <t>15-7</t>
  </si>
  <si>
    <t>14-13</t>
  </si>
  <si>
    <t>13-11</t>
  </si>
  <si>
    <t>12-11</t>
  </si>
  <si>
    <t>11-10</t>
  </si>
  <si>
    <t>10-8</t>
  </si>
  <si>
    <t>9-8</t>
  </si>
  <si>
    <t>8-7</t>
  </si>
  <si>
    <t>7-3</t>
  </si>
  <si>
    <t>6-4</t>
  </si>
  <si>
    <t>5-4</t>
  </si>
  <si>
    <t>4-3</t>
  </si>
  <si>
    <t>3-1</t>
  </si>
  <si>
    <t>2-1</t>
  </si>
  <si>
    <t>0-1</t>
  </si>
  <si>
    <t>Pressão máxima na rede</t>
  </si>
  <si>
    <t>200 mm</t>
  </si>
  <si>
    <t>Cota do terreno do poço</t>
  </si>
  <si>
    <t>Diâmetro do barrilete do poço</t>
  </si>
  <si>
    <t>Sem distribuição, barrilete do poço</t>
  </si>
  <si>
    <t>Interligação, sem ligaçoes domiciliares</t>
  </si>
  <si>
    <t>A-12</t>
  </si>
  <si>
    <t xml:space="preserve">Metragem da Rede </t>
  </si>
  <si>
    <t>Cota piezométrica na saída do poço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</si>
</sst>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#,##0.000"/>
    <numFmt numFmtId="166" formatCode="0.000"/>
    <numFmt numFmtId="167" formatCode="0.0000"/>
    <numFmt numFmtId="168" formatCode="0.0"/>
    <numFmt numFmtId="169" formatCode="0.0000000"/>
    <numFmt numFmtId="170" formatCode="#,##0.0"/>
  </numFmts>
  <fonts count="7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166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0" borderId="5" xfId="0" applyFill="1" applyBorder="1"/>
    <xf numFmtId="0" fontId="0" fillId="0" borderId="0" xfId="0" applyFill="1" applyBorder="1"/>
    <xf numFmtId="0" fontId="4" fillId="2" borderId="0" xfId="0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7" fontId="4" fillId="2" borderId="2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167" fontId="4" fillId="0" borderId="0" xfId="0" applyNumberFormat="1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10" xfId="0" applyBorder="1"/>
    <xf numFmtId="0" fontId="0" fillId="0" borderId="9" xfId="0" applyBorder="1"/>
    <xf numFmtId="2" fontId="4" fillId="0" borderId="9" xfId="0" applyNumberFormat="1" applyFont="1" applyFill="1" applyBorder="1" applyAlignment="1">
      <alignment horizontal="center"/>
    </xf>
    <xf numFmtId="0" fontId="0" fillId="2" borderId="11" xfId="0" applyFill="1" applyBorder="1"/>
    <xf numFmtId="0" fontId="0" fillId="2" borderId="13" xfId="0" applyFill="1" applyBorder="1"/>
    <xf numFmtId="0" fontId="0" fillId="0" borderId="11" xfId="0" applyBorder="1"/>
    <xf numFmtId="166" fontId="0" fillId="0" borderId="12" xfId="0" applyNumberFormat="1" applyBorder="1"/>
    <xf numFmtId="0" fontId="0" fillId="0" borderId="3" xfId="0" applyBorder="1"/>
    <xf numFmtId="0" fontId="4" fillId="3" borderId="0" xfId="0" applyFont="1" applyFill="1" applyBorder="1" applyAlignment="1">
      <alignment horizontal="center"/>
    </xf>
    <xf numFmtId="0" fontId="0" fillId="0" borderId="5" xfId="0" applyBorder="1"/>
    <xf numFmtId="0" fontId="4" fillId="0" borderId="9" xfId="0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165" fontId="0" fillId="2" borderId="14" xfId="0" applyNumberFormat="1" applyFill="1" applyBorder="1"/>
    <xf numFmtId="169" fontId="0" fillId="2" borderId="12" xfId="0" applyNumberFormat="1" applyFill="1" applyBorder="1"/>
    <xf numFmtId="0" fontId="4" fillId="0" borderId="15" xfId="0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167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6" fontId="4" fillId="5" borderId="2" xfId="0" applyNumberFormat="1" applyFont="1" applyFill="1" applyBorder="1" applyAlignment="1">
      <alignment horizontal="center"/>
    </xf>
    <xf numFmtId="167" fontId="0" fillId="0" borderId="0" xfId="0" applyNumberFormat="1"/>
    <xf numFmtId="1" fontId="0" fillId="0" borderId="14" xfId="0" applyNumberFormat="1" applyBorder="1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" applyFont="1" applyAlignment="1">
      <alignment horizontal="center"/>
    </xf>
    <xf numFmtId="168" fontId="1" fillId="0" borderId="0" xfId="0" applyNumberFormat="1" applyFont="1" applyAlignment="1">
      <alignment horizont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1" fillId="5" borderId="27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170" fontId="0" fillId="2" borderId="12" xfId="0" applyNumberFormat="1" applyFill="1" applyBorder="1"/>
    <xf numFmtId="0" fontId="1" fillId="0" borderId="8" xfId="0" applyFont="1" applyBorder="1"/>
    <xf numFmtId="0" fontId="5" fillId="3" borderId="2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/>
    </xf>
    <xf numFmtId="0" fontId="6" fillId="4" borderId="28" xfId="0" applyFont="1" applyFill="1" applyBorder="1"/>
    <xf numFmtId="0" fontId="2" fillId="4" borderId="28" xfId="0" applyFont="1" applyFill="1" applyBorder="1" applyAlignment="1">
      <alignment horizontal="center"/>
    </xf>
    <xf numFmtId="166" fontId="4" fillId="2" borderId="28" xfId="0" applyNumberFormat="1" applyFont="1" applyFill="1" applyBorder="1" applyAlignment="1">
      <alignment horizontal="center"/>
    </xf>
    <xf numFmtId="166" fontId="4" fillId="0" borderId="28" xfId="0" applyNumberFormat="1" applyFon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/>
    </xf>
    <xf numFmtId="167" fontId="4" fillId="2" borderId="28" xfId="0" applyNumberFormat="1" applyFont="1" applyFill="1" applyBorder="1" applyAlignment="1">
      <alignment horizontal="center"/>
    </xf>
    <xf numFmtId="166" fontId="4" fillId="5" borderId="28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vertical="center" wrapText="1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Border="1"/>
    <xf numFmtId="167" fontId="0" fillId="0" borderId="0" xfId="0" applyNumberFormat="1" applyBorder="1"/>
    <xf numFmtId="0" fontId="6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4" fillId="2" borderId="47" xfId="0" applyNumberFormat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2" fontId="4" fillId="5" borderId="27" xfId="0" applyNumberFormat="1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2" fontId="4" fillId="5" borderId="28" xfId="0" applyNumberFormat="1" applyFont="1" applyFill="1" applyBorder="1" applyAlignment="1">
      <alignment horizontal="center"/>
    </xf>
    <xf numFmtId="2" fontId="4" fillId="2" borderId="49" xfId="0" applyNumberFormat="1" applyFont="1" applyFill="1" applyBorder="1" applyAlignment="1">
      <alignment horizontal="center"/>
    </xf>
    <xf numFmtId="166" fontId="0" fillId="0" borderId="52" xfId="0" applyNumberFormat="1" applyBorder="1"/>
    <xf numFmtId="0" fontId="0" fillId="0" borderId="53" xfId="0" applyBorder="1"/>
    <xf numFmtId="0" fontId="0" fillId="0" borderId="17" xfId="0" applyBorder="1"/>
    <xf numFmtId="0" fontId="0" fillId="0" borderId="12" xfId="0" applyBorder="1"/>
    <xf numFmtId="0" fontId="1" fillId="0" borderId="6" xfId="0" applyFont="1" applyBorder="1"/>
    <xf numFmtId="2" fontId="4" fillId="5" borderId="2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166" fontId="4" fillId="5" borderId="2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/>
    <xf numFmtId="0" fontId="1" fillId="0" borderId="4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4" borderId="38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0</xdr:row>
      <xdr:rowOff>114301</xdr:rowOff>
    </xdr:from>
    <xdr:to>
      <xdr:col>15</xdr:col>
      <xdr:colOff>821224</xdr:colOff>
      <xdr:row>3</xdr:row>
      <xdr:rowOff>142876</xdr:rowOff>
    </xdr:to>
    <xdr:pic>
      <xdr:nvPicPr>
        <xdr:cNvPr id="2" name="Picture 1" descr="Cosanp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01576" y="114301"/>
          <a:ext cx="96409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="90" zoomScaleNormal="90" workbookViewId="0">
      <pane xSplit="2" ySplit="7" topLeftCell="C47" activePane="bottomRight" state="frozen"/>
      <selection pane="topRight" activeCell="C1" sqref="C1"/>
      <selection pane="bottomLeft" activeCell="A8" sqref="A8"/>
      <selection pane="bottomRight" activeCell="G68" sqref="G68"/>
    </sheetView>
  </sheetViews>
  <sheetFormatPr defaultRowHeight="12.75"/>
  <cols>
    <col min="1" max="1" width="8.28515625" customWidth="1"/>
    <col min="2" max="2" width="12.5703125" customWidth="1"/>
    <col min="3" max="3" width="13.7109375" customWidth="1"/>
    <col min="4" max="4" width="12.5703125" bestFit="1" customWidth="1"/>
    <col min="5" max="5" width="13.140625" bestFit="1" customWidth="1"/>
    <col min="6" max="6" width="8.5703125" customWidth="1"/>
    <col min="7" max="7" width="9.7109375" customWidth="1"/>
    <col min="8" max="8" width="11.42578125" customWidth="1"/>
    <col min="9" max="9" width="18.5703125" customWidth="1"/>
    <col min="10" max="10" width="11" customWidth="1"/>
    <col min="11" max="11" width="18.140625" customWidth="1"/>
    <col min="12" max="12" width="12.28515625" customWidth="1"/>
    <col min="13" max="13" width="11.42578125" bestFit="1" customWidth="1"/>
    <col min="14" max="14" width="12.140625" customWidth="1"/>
    <col min="15" max="15" width="11.5703125" customWidth="1"/>
    <col min="16" max="16" width="16.85546875" customWidth="1"/>
    <col min="20" max="20" width="45.140625" bestFit="1" customWidth="1"/>
  </cols>
  <sheetData>
    <row r="1" spans="1:18" ht="41.25" customHeight="1">
      <c r="A1" s="123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</row>
    <row r="2" spans="1:18">
      <c r="A2" s="113" t="s">
        <v>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</row>
    <row r="3" spans="1:18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</row>
    <row r="4" spans="1:18" ht="20.25" customHeight="1">
      <c r="A4" s="116" t="s">
        <v>43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1:18" ht="16.149999999999999" customHeight="1" thickBot="1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</row>
    <row r="6" spans="1:18" ht="16.149999999999999" customHeight="1">
      <c r="A6" s="143" t="s">
        <v>5</v>
      </c>
      <c r="B6" s="68" t="s">
        <v>4</v>
      </c>
      <c r="C6" s="145" t="s">
        <v>6</v>
      </c>
      <c r="D6" s="145"/>
      <c r="E6" s="145"/>
      <c r="F6" s="145"/>
      <c r="G6" s="69" t="s">
        <v>7</v>
      </c>
      <c r="H6" s="69" t="s">
        <v>8</v>
      </c>
      <c r="I6" s="69" t="s">
        <v>9</v>
      </c>
      <c r="J6" s="69" t="s">
        <v>10</v>
      </c>
      <c r="K6" s="69" t="s">
        <v>9</v>
      </c>
      <c r="L6" s="145" t="s">
        <v>11</v>
      </c>
      <c r="M6" s="145"/>
      <c r="N6" s="145" t="s">
        <v>12</v>
      </c>
      <c r="O6" s="145"/>
      <c r="P6" s="141" t="s">
        <v>13</v>
      </c>
    </row>
    <row r="7" spans="1:18" ht="16.149999999999999" customHeight="1" thickBot="1">
      <c r="A7" s="144"/>
      <c r="B7" s="76" t="s">
        <v>1</v>
      </c>
      <c r="C7" s="77" t="s">
        <v>14</v>
      </c>
      <c r="D7" s="77" t="s">
        <v>15</v>
      </c>
      <c r="E7" s="77" t="s">
        <v>16</v>
      </c>
      <c r="F7" s="77" t="s">
        <v>17</v>
      </c>
      <c r="G7" s="86" t="s">
        <v>2</v>
      </c>
      <c r="H7" s="76" t="s">
        <v>18</v>
      </c>
      <c r="I7" s="76" t="s">
        <v>19</v>
      </c>
      <c r="J7" s="76" t="s">
        <v>20</v>
      </c>
      <c r="K7" s="76" t="s">
        <v>21</v>
      </c>
      <c r="L7" s="77" t="s">
        <v>16</v>
      </c>
      <c r="M7" s="77" t="s">
        <v>14</v>
      </c>
      <c r="N7" s="77" t="s">
        <v>16</v>
      </c>
      <c r="O7" s="77" t="s">
        <v>14</v>
      </c>
      <c r="P7" s="142"/>
      <c r="R7" s="2"/>
    </row>
    <row r="8" spans="1:18" ht="16.149999999999999" customHeight="1">
      <c r="A8" s="62" t="s">
        <v>45</v>
      </c>
      <c r="B8" s="87">
        <v>93.2</v>
      </c>
      <c r="C8" s="70">
        <v>0</v>
      </c>
      <c r="D8" s="70">
        <f t="shared" ref="D8:D14" si="0">B8*$D$56</f>
        <v>0.97844687306436562</v>
      </c>
      <c r="E8" s="71">
        <f>D8+C8</f>
        <v>0.97844687306436562</v>
      </c>
      <c r="F8" s="70">
        <f t="shared" ref="F8:F28" si="1">(C8+E8)/2</f>
        <v>0.48922343653218281</v>
      </c>
      <c r="G8" s="5">
        <f>IF(F8&lt;1.18,50,IF(F8&lt;2.65,75,IF(F8&lt;4.71,100,IF(F8&lt;14.14,150,IF(F8&lt;28.27,200,IF(F8&lt;54,250,IF(F8&lt;84.82,300,IF(F8&lt;125.07,350))))))))</f>
        <v>50</v>
      </c>
      <c r="H8" s="72">
        <f t="shared" ref="H8:H28" si="2">((4*(F8/1000))/((3.1416*(G8/1000)^2)))</f>
        <v>0.24915886759978748</v>
      </c>
      <c r="I8" s="73">
        <f>K8+J8</f>
        <v>32.198284730563223</v>
      </c>
      <c r="J8" s="73">
        <f>(10.643*(F8/1000)^1.85*B8)/($D$57^1.85*(G8/1000)^4.87)</f>
        <v>0.1982847305632244</v>
      </c>
      <c r="K8" s="73">
        <v>32</v>
      </c>
      <c r="L8" s="74">
        <v>22</v>
      </c>
      <c r="M8" s="74">
        <v>22</v>
      </c>
      <c r="N8" s="70">
        <f t="shared" ref="N8:N28" si="3">I8-L8</f>
        <v>10.198284730563223</v>
      </c>
      <c r="O8" s="71">
        <f t="shared" ref="O8:O28" si="4">K8-M8</f>
        <v>10</v>
      </c>
      <c r="P8" s="75"/>
      <c r="R8" s="2"/>
    </row>
    <row r="9" spans="1:18" s="60" customFormat="1" ht="16.149999999999999" customHeight="1">
      <c r="A9" s="62" t="s">
        <v>46</v>
      </c>
      <c r="B9" s="88">
        <v>68.900000000000006</v>
      </c>
      <c r="C9" s="4">
        <v>0</v>
      </c>
      <c r="D9" s="4">
        <f t="shared" si="0"/>
        <v>0.7233367977911459</v>
      </c>
      <c r="E9" s="12">
        <f>D9+C9</f>
        <v>0.7233367977911459</v>
      </c>
      <c r="F9" s="4">
        <f t="shared" ref="F9" si="5">(C9+E9)/2</f>
        <v>0.36166839889557295</v>
      </c>
      <c r="G9" s="5">
        <f t="shared" ref="G9:G46" si="6">IF(F9&lt;1.18,50,IF(F9&lt;2.65,75,IF(F9&lt;4.71,100,IF(F9&lt;14.14,150,IF(F9&lt;28.27,200,IF(F9&lt;54,250,IF(F9&lt;84.82,300,IF(F9&lt;125.07,350))))))))</f>
        <v>50</v>
      </c>
      <c r="H9" s="6">
        <f t="shared" ref="H9" si="7">((4*(F9/1000))/((3.1416*(G9/1000)^2)))</f>
        <v>0.18419577229211756</v>
      </c>
      <c r="I9" s="13">
        <f>I8</f>
        <v>32.198284730563223</v>
      </c>
      <c r="J9" s="13">
        <f>(10.643*(F9/1000)^1.85*B9)/($D$57^1.85*(G9/1000)^4.87)</f>
        <v>8.3825992413851275E-2</v>
      </c>
      <c r="K9" s="13">
        <f>I9-J9</f>
        <v>32.114458738149374</v>
      </c>
      <c r="L9" s="47">
        <v>22</v>
      </c>
      <c r="M9" s="47">
        <v>19</v>
      </c>
      <c r="N9" s="4">
        <f t="shared" ref="N9" si="8">I9-L9</f>
        <v>10.198284730563223</v>
      </c>
      <c r="O9" s="12">
        <f t="shared" ref="O9" si="9">K9-M9</f>
        <v>13.114458738149374</v>
      </c>
      <c r="P9" s="63"/>
      <c r="R9" s="2"/>
    </row>
    <row r="10" spans="1:18" s="61" customFormat="1" ht="16.149999999999999" customHeight="1">
      <c r="A10" s="62" t="s">
        <v>47</v>
      </c>
      <c r="B10" s="89">
        <v>39.6</v>
      </c>
      <c r="C10" s="4">
        <f>E8+E9</f>
        <v>1.7017836708555114</v>
      </c>
      <c r="D10" s="4">
        <f t="shared" si="0"/>
        <v>0.41573493748228413</v>
      </c>
      <c r="E10" s="12">
        <f>D10+C10</f>
        <v>2.1175186083377957</v>
      </c>
      <c r="F10" s="4">
        <f t="shared" ref="F10" si="10">(C10+E10)/2</f>
        <v>1.9096511395966536</v>
      </c>
      <c r="G10" s="5">
        <f t="shared" si="6"/>
        <v>75</v>
      </c>
      <c r="H10" s="6">
        <f t="shared" ref="H10" si="11">((4*(F10/1000))/((3.1416*(G10/1000)^2)))</f>
        <v>0.43225558432428568</v>
      </c>
      <c r="I10" s="13">
        <f>K10+J10</f>
        <v>32.343556310845912</v>
      </c>
      <c r="J10" s="13">
        <f t="shared" ref="J10" si="12">(10.643*(F10/1000)^1.85*B10)/($D$57^1.85*(G10/1000)^4.87)</f>
        <v>0.145271580282686</v>
      </c>
      <c r="K10" s="13">
        <f>I8</f>
        <v>32.198284730563223</v>
      </c>
      <c r="L10" s="47">
        <v>21</v>
      </c>
      <c r="M10" s="47">
        <v>22</v>
      </c>
      <c r="N10" s="4">
        <f t="shared" ref="N10" si="13">I10-L10</f>
        <v>11.343556310845912</v>
      </c>
      <c r="O10" s="12">
        <f t="shared" ref="O10" si="14">K10-M10</f>
        <v>10.198284730563223</v>
      </c>
      <c r="P10" s="63"/>
      <c r="R10" s="2"/>
    </row>
    <row r="11" spans="1:18" ht="16.149999999999999" customHeight="1">
      <c r="A11" s="55" t="s">
        <v>48</v>
      </c>
      <c r="B11" s="88">
        <v>82.5</v>
      </c>
      <c r="C11" s="4">
        <v>0</v>
      </c>
      <c r="D11" s="4">
        <f t="shared" si="0"/>
        <v>0.86611445308809187</v>
      </c>
      <c r="E11" s="12">
        <f t="shared" ref="E11:E28" si="15">C11+D11</f>
        <v>0.86611445308809187</v>
      </c>
      <c r="F11" s="4">
        <f t="shared" si="1"/>
        <v>0.43305722654404594</v>
      </c>
      <c r="G11" s="5">
        <f t="shared" si="6"/>
        <v>50</v>
      </c>
      <c r="H11" s="6">
        <f t="shared" si="2"/>
        <v>0.22055371863715093</v>
      </c>
      <c r="I11" s="13">
        <f>I10</f>
        <v>32.343556310845912</v>
      </c>
      <c r="J11" s="13">
        <f>(10.643*(F11/1000)^1.85*B11)/($D$57^1.85*(G11/1000)^4.87)</f>
        <v>0.14007082115040034</v>
      </c>
      <c r="K11" s="13">
        <f>I11-J11</f>
        <v>32.20348548969551</v>
      </c>
      <c r="L11" s="47">
        <v>21</v>
      </c>
      <c r="M11" s="47">
        <v>19</v>
      </c>
      <c r="N11" s="4">
        <f t="shared" si="3"/>
        <v>11.343556310845912</v>
      </c>
      <c r="O11" s="12">
        <f t="shared" si="4"/>
        <v>13.20348548969551</v>
      </c>
      <c r="P11" s="63"/>
      <c r="R11" s="2"/>
    </row>
    <row r="12" spans="1:18" ht="16.149999999999999" customHeight="1">
      <c r="A12" s="55" t="s">
        <v>49</v>
      </c>
      <c r="B12" s="88">
        <v>47.1</v>
      </c>
      <c r="C12" s="4">
        <f>E10+E11</f>
        <v>2.9836330614258877</v>
      </c>
      <c r="D12" s="4">
        <f t="shared" si="0"/>
        <v>0.49447261503574702</v>
      </c>
      <c r="E12" s="12">
        <f t="shared" si="15"/>
        <v>3.4781056764616345</v>
      </c>
      <c r="F12" s="4">
        <f t="shared" si="1"/>
        <v>3.2308693689437611</v>
      </c>
      <c r="G12" s="5">
        <f t="shared" si="6"/>
        <v>100</v>
      </c>
      <c r="H12" s="6">
        <f t="shared" si="2"/>
        <v>0.41136610248838301</v>
      </c>
      <c r="I12" s="13">
        <f>K12+J12</f>
        <v>32.456154305394371</v>
      </c>
      <c r="J12" s="13">
        <f>(10.643*(F12/1000)^1.85*B12)/($D$57^1.85*(G12/1000)^4.87)</f>
        <v>0.11259799454845837</v>
      </c>
      <c r="K12" s="13">
        <f>I10</f>
        <v>32.343556310845912</v>
      </c>
      <c r="L12" s="47">
        <v>21</v>
      </c>
      <c r="M12" s="47">
        <v>21</v>
      </c>
      <c r="N12" s="4">
        <f t="shared" si="3"/>
        <v>11.456154305394371</v>
      </c>
      <c r="O12" s="12">
        <f t="shared" si="4"/>
        <v>11.343556310845912</v>
      </c>
      <c r="P12" s="63"/>
      <c r="R12" s="2"/>
    </row>
    <row r="13" spans="1:18" s="58" customFormat="1" ht="16.149999999999999" customHeight="1">
      <c r="A13" s="55" t="s">
        <v>50</v>
      </c>
      <c r="B13" s="88">
        <v>97.9</v>
      </c>
      <c r="C13" s="4">
        <v>0</v>
      </c>
      <c r="D13" s="4">
        <f t="shared" si="0"/>
        <v>1.0277891509978692</v>
      </c>
      <c r="E13" s="12">
        <f t="shared" ref="E13:E22" si="16">C13+D13</f>
        <v>1.0277891509978692</v>
      </c>
      <c r="F13" s="4">
        <f t="shared" ref="F13:F22" si="17">(C13+E13)/2</f>
        <v>0.51389457549893458</v>
      </c>
      <c r="G13" s="5">
        <f t="shared" si="6"/>
        <v>50</v>
      </c>
      <c r="H13" s="6">
        <f t="shared" ref="H13:H22" si="18">((4*(F13/1000))/((3.1416*(G13/1000)^2)))</f>
        <v>0.26172374611608584</v>
      </c>
      <c r="I13" s="13">
        <f>I12</f>
        <v>32.456154305394371</v>
      </c>
      <c r="J13" s="13">
        <f>(10.643*(F13/1000)^1.85*B13)/($D$57^1.85*(G13/1000)^4.87)</f>
        <v>0.22813115167521067</v>
      </c>
      <c r="K13" s="13">
        <f>I13-J13</f>
        <v>32.228023153719157</v>
      </c>
      <c r="L13" s="47">
        <v>21</v>
      </c>
      <c r="M13" s="47">
        <v>19</v>
      </c>
      <c r="N13" s="4">
        <f t="shared" ref="N13:N22" si="19">I13-L13</f>
        <v>11.456154305394371</v>
      </c>
      <c r="O13" s="12">
        <f t="shared" ref="O13:O22" si="20">K13-M13</f>
        <v>13.228023153719157</v>
      </c>
      <c r="P13" s="63"/>
      <c r="R13" s="2"/>
    </row>
    <row r="14" spans="1:18" s="58" customFormat="1" ht="16.149999999999999" customHeight="1">
      <c r="A14" s="55" t="s">
        <v>51</v>
      </c>
      <c r="B14" s="88">
        <v>46.9</v>
      </c>
      <c r="C14" s="4">
        <f>E12+E13</f>
        <v>4.5058948274595032</v>
      </c>
      <c r="D14" s="4">
        <f t="shared" si="0"/>
        <v>0.49237294363432133</v>
      </c>
      <c r="E14" s="12">
        <f t="shared" si="16"/>
        <v>4.9982677710938246</v>
      </c>
      <c r="F14" s="4">
        <f t="shared" si="17"/>
        <v>4.7520812992766643</v>
      </c>
      <c r="G14" s="5">
        <v>100</v>
      </c>
      <c r="H14" s="6">
        <f t="shared" si="18"/>
        <v>0.60505236812791741</v>
      </c>
      <c r="I14" s="13">
        <f>K14+J14</f>
        <v>32.685070673954584</v>
      </c>
      <c r="J14" s="13">
        <f>(10.643*(F14/1000)^1.85*B14)/($D$57^1.85*(G14/1000)^4.87)</f>
        <v>0.22891636856021264</v>
      </c>
      <c r="K14" s="13">
        <f>I12</f>
        <v>32.456154305394371</v>
      </c>
      <c r="L14" s="47">
        <v>20</v>
      </c>
      <c r="M14" s="47">
        <v>21</v>
      </c>
      <c r="N14" s="4">
        <f t="shared" si="19"/>
        <v>12.685070673954584</v>
      </c>
      <c r="O14" s="12">
        <f t="shared" si="20"/>
        <v>11.456154305394371</v>
      </c>
      <c r="P14" s="63"/>
      <c r="R14" s="2"/>
    </row>
    <row r="15" spans="1:18" s="61" customFormat="1" ht="16.149999999999999" customHeight="1">
      <c r="A15" s="55" t="s">
        <v>52</v>
      </c>
      <c r="B15" s="88">
        <v>110.9</v>
      </c>
      <c r="C15" s="4">
        <v>0</v>
      </c>
      <c r="D15" s="4">
        <f t="shared" ref="D15" si="21">B15*$D$56</f>
        <v>1.164267792090538</v>
      </c>
      <c r="E15" s="12">
        <f t="shared" ref="E15" si="22">C15+D15</f>
        <v>1.164267792090538</v>
      </c>
      <c r="F15" s="4">
        <f t="shared" ref="F15" si="23">(C15+E15)/2</f>
        <v>0.58213389604526899</v>
      </c>
      <c r="G15" s="5">
        <f t="shared" si="6"/>
        <v>50</v>
      </c>
      <c r="H15" s="6">
        <f t="shared" ref="H15" si="24">((4*(F15/1000))/((3.1416*(G15/1000)^2)))</f>
        <v>0.29647766541648529</v>
      </c>
      <c r="I15" s="13">
        <f>I14</f>
        <v>32.685070673954584</v>
      </c>
      <c r="J15" s="13">
        <f t="shared" ref="J15" si="25">(10.643*(F15/1000)^1.85*B15)/($D$57^1.85*(G15/1000)^4.87)</f>
        <v>0.32546839916502901</v>
      </c>
      <c r="K15" s="13">
        <f>I15-J15</f>
        <v>32.359602274789552</v>
      </c>
      <c r="L15" s="47">
        <v>20</v>
      </c>
      <c r="M15" s="47">
        <v>18</v>
      </c>
      <c r="N15" s="4">
        <f t="shared" ref="N15" si="26">I15-L15</f>
        <v>12.685070673954584</v>
      </c>
      <c r="O15" s="12">
        <f t="shared" ref="O15" si="27">K15-M15</f>
        <v>14.359602274789552</v>
      </c>
      <c r="P15" s="63"/>
      <c r="R15" s="2"/>
    </row>
    <row r="16" spans="1:18" s="58" customFormat="1" ht="16.149999999999999" customHeight="1">
      <c r="A16" s="55" t="s">
        <v>53</v>
      </c>
      <c r="B16" s="88">
        <v>49</v>
      </c>
      <c r="C16" s="4">
        <f>E14+E15</f>
        <v>6.1625355631843624</v>
      </c>
      <c r="D16" s="4">
        <f t="shared" ref="D16:D25" si="28">B16*$D$56</f>
        <v>0.51441949334929093</v>
      </c>
      <c r="E16" s="12">
        <f t="shared" si="16"/>
        <v>6.6769550565336537</v>
      </c>
      <c r="F16" s="4">
        <f t="shared" si="17"/>
        <v>6.4197453098590085</v>
      </c>
      <c r="G16" s="5">
        <v>100</v>
      </c>
      <c r="H16" s="6">
        <f t="shared" si="18"/>
        <v>0.81738544816131997</v>
      </c>
      <c r="I16" s="13">
        <f>K16+J16</f>
        <v>33.102298118573657</v>
      </c>
      <c r="J16" s="13">
        <f t="shared" ref="J16:J25" si="29">(10.643*(F16/1000)^1.85*B16)/($D$57^1.85*(G16/1000)^4.87)</f>
        <v>0.41722744461907596</v>
      </c>
      <c r="K16" s="13">
        <f>I14</f>
        <v>32.685070673954584</v>
      </c>
      <c r="L16" s="47">
        <v>19</v>
      </c>
      <c r="M16" s="47">
        <v>20</v>
      </c>
      <c r="N16" s="4">
        <f t="shared" si="19"/>
        <v>14.102298118573657</v>
      </c>
      <c r="O16" s="12">
        <f t="shared" si="20"/>
        <v>12.685070673954584</v>
      </c>
      <c r="P16" s="63"/>
      <c r="R16" s="2"/>
    </row>
    <row r="17" spans="1:18" s="58" customFormat="1" ht="16.149999999999999" customHeight="1">
      <c r="A17" s="55" t="s">
        <v>54</v>
      </c>
      <c r="B17" s="88">
        <v>106.2</v>
      </c>
      <c r="C17" s="4">
        <v>0</v>
      </c>
      <c r="D17" s="4">
        <f t="shared" si="28"/>
        <v>1.1149255141570347</v>
      </c>
      <c r="E17" s="12">
        <f t="shared" si="16"/>
        <v>1.1149255141570347</v>
      </c>
      <c r="F17" s="4">
        <f t="shared" si="17"/>
        <v>0.55746275707851733</v>
      </c>
      <c r="G17" s="5">
        <f t="shared" si="6"/>
        <v>50</v>
      </c>
      <c r="H17" s="6">
        <f t="shared" si="18"/>
        <v>0.28391278690018706</v>
      </c>
      <c r="I17" s="13">
        <f>I16</f>
        <v>33.102298118573657</v>
      </c>
      <c r="J17" s="13">
        <f t="shared" si="29"/>
        <v>0.28767941970998945</v>
      </c>
      <c r="K17" s="13">
        <f>I17-J17</f>
        <v>32.814618698863669</v>
      </c>
      <c r="L17" s="47">
        <v>19</v>
      </c>
      <c r="M17" s="47">
        <v>17</v>
      </c>
      <c r="N17" s="4">
        <f t="shared" si="19"/>
        <v>14.102298118573657</v>
      </c>
      <c r="O17" s="12">
        <f t="shared" si="20"/>
        <v>15.814618698863669</v>
      </c>
      <c r="P17" s="63"/>
      <c r="R17" s="2"/>
    </row>
    <row r="18" spans="1:18" s="58" customFormat="1" ht="16.149999999999999" customHeight="1">
      <c r="A18" s="55" t="s">
        <v>55</v>
      </c>
      <c r="B18" s="88">
        <v>49.9</v>
      </c>
      <c r="C18" s="4">
        <f>E16+E17</f>
        <v>7.7918805706906884</v>
      </c>
      <c r="D18" s="4">
        <f t="shared" si="28"/>
        <v>0.52386801465570643</v>
      </c>
      <c r="E18" s="12">
        <f t="shared" si="16"/>
        <v>8.3157485853463946</v>
      </c>
      <c r="F18" s="4">
        <f t="shared" si="17"/>
        <v>8.0538145780185424</v>
      </c>
      <c r="G18" s="5">
        <f t="shared" si="6"/>
        <v>150</v>
      </c>
      <c r="H18" s="6">
        <f t="shared" si="18"/>
        <v>0.4557516101077182</v>
      </c>
      <c r="I18" s="13">
        <f>K18+J18</f>
        <v>33.192021985745392</v>
      </c>
      <c r="J18" s="13">
        <f t="shared" si="29"/>
        <v>8.9723867171737179E-2</v>
      </c>
      <c r="K18" s="13">
        <f>I16</f>
        <v>33.102298118573657</v>
      </c>
      <c r="L18" s="47">
        <v>18</v>
      </c>
      <c r="M18" s="47">
        <v>19</v>
      </c>
      <c r="N18" s="4">
        <f t="shared" si="19"/>
        <v>15.192021985745392</v>
      </c>
      <c r="O18" s="12">
        <f t="shared" si="20"/>
        <v>14.102298118573657</v>
      </c>
      <c r="P18" s="63"/>
      <c r="R18" s="2"/>
    </row>
    <row r="19" spans="1:18" s="58" customFormat="1" ht="16.149999999999999" customHeight="1">
      <c r="A19" s="55" t="s">
        <v>56</v>
      </c>
      <c r="B19" s="88">
        <v>28.2</v>
      </c>
      <c r="C19" s="4">
        <v>0</v>
      </c>
      <c r="D19" s="4">
        <f t="shared" si="28"/>
        <v>0.29605366760102048</v>
      </c>
      <c r="E19" s="12">
        <f t="shared" si="16"/>
        <v>0.29605366760102048</v>
      </c>
      <c r="F19" s="4">
        <f t="shared" si="17"/>
        <v>0.14802683380051024</v>
      </c>
      <c r="G19" s="5">
        <f t="shared" si="6"/>
        <v>50</v>
      </c>
      <c r="H19" s="6">
        <f t="shared" si="18"/>
        <v>7.538927109778977E-2</v>
      </c>
      <c r="I19" s="13">
        <f>K20</f>
        <v>32.420504141967264</v>
      </c>
      <c r="J19" s="13">
        <f t="shared" si="29"/>
        <v>6.5714904334959997E-3</v>
      </c>
      <c r="K19" s="13">
        <f>I19-J19</f>
        <v>32.41393265153377</v>
      </c>
      <c r="L19" s="47">
        <v>16</v>
      </c>
      <c r="M19" s="47">
        <v>15</v>
      </c>
      <c r="N19" s="4">
        <f t="shared" si="19"/>
        <v>16.420504141967264</v>
      </c>
      <c r="O19" s="12">
        <f t="shared" si="20"/>
        <v>17.41393265153377</v>
      </c>
      <c r="P19" s="63"/>
      <c r="R19" s="2"/>
    </row>
    <row r="20" spans="1:18" s="58" customFormat="1" ht="16.149999999999999" customHeight="1">
      <c r="A20" s="55" t="s">
        <v>57</v>
      </c>
      <c r="B20" s="88">
        <v>116.1</v>
      </c>
      <c r="C20" s="4">
        <f>E19</f>
        <v>0.29605366760102048</v>
      </c>
      <c r="D20" s="4">
        <f t="shared" si="28"/>
        <v>1.2188592485276055</v>
      </c>
      <c r="E20" s="12">
        <f t="shared" si="16"/>
        <v>1.5149129161286261</v>
      </c>
      <c r="F20" s="4">
        <f t="shared" si="17"/>
        <v>0.90548329186482324</v>
      </c>
      <c r="G20" s="5">
        <f t="shared" si="6"/>
        <v>50</v>
      </c>
      <c r="H20" s="6">
        <f t="shared" si="18"/>
        <v>0.46115777533222463</v>
      </c>
      <c r="I20" s="13">
        <f>I18</f>
        <v>33.192021985745392</v>
      </c>
      <c r="J20" s="13">
        <f t="shared" si="29"/>
        <v>0.77151784377813071</v>
      </c>
      <c r="K20" s="13">
        <f>I20-J20</f>
        <v>32.420504141967264</v>
      </c>
      <c r="L20" s="47">
        <v>18</v>
      </c>
      <c r="M20" s="47">
        <v>16</v>
      </c>
      <c r="N20" s="4">
        <f t="shared" si="19"/>
        <v>15.192021985745392</v>
      </c>
      <c r="O20" s="12">
        <f t="shared" si="20"/>
        <v>16.420504141967264</v>
      </c>
      <c r="P20" s="63"/>
      <c r="R20" s="2"/>
    </row>
    <row r="21" spans="1:18" s="58" customFormat="1" ht="16.149999999999999" customHeight="1">
      <c r="A21" s="55" t="s">
        <v>58</v>
      </c>
      <c r="B21" s="88">
        <v>43.9</v>
      </c>
      <c r="C21" s="4">
        <f>E18+E20</f>
        <v>9.8306615014750207</v>
      </c>
      <c r="D21" s="4">
        <f t="shared" si="28"/>
        <v>0.46087787261293617</v>
      </c>
      <c r="E21" s="12">
        <f t="shared" si="16"/>
        <v>10.291539374087957</v>
      </c>
      <c r="F21" s="4">
        <f t="shared" si="17"/>
        <v>10.061100437781489</v>
      </c>
      <c r="G21" s="5">
        <f t="shared" si="6"/>
        <v>150</v>
      </c>
      <c r="H21" s="6">
        <f t="shared" si="18"/>
        <v>0.56934048823141725</v>
      </c>
      <c r="I21" s="13">
        <f>K21+J21</f>
        <v>33.311163494450973</v>
      </c>
      <c r="J21" s="13">
        <f t="shared" si="29"/>
        <v>0.11914150870558246</v>
      </c>
      <c r="K21" s="13">
        <f>I18</f>
        <v>33.192021985745392</v>
      </c>
      <c r="L21" s="47">
        <v>18</v>
      </c>
      <c r="M21" s="47">
        <v>18</v>
      </c>
      <c r="N21" s="4">
        <f t="shared" si="19"/>
        <v>15.311163494450973</v>
      </c>
      <c r="O21" s="12">
        <f t="shared" si="20"/>
        <v>15.192021985745392</v>
      </c>
      <c r="P21" s="63"/>
      <c r="R21" s="2"/>
    </row>
    <row r="22" spans="1:18" s="58" customFormat="1" ht="16.149999999999999" customHeight="1">
      <c r="A22" s="55" t="s">
        <v>59</v>
      </c>
      <c r="B22" s="88">
        <v>113.4</v>
      </c>
      <c r="C22" s="4">
        <v>0</v>
      </c>
      <c r="D22" s="4">
        <f t="shared" si="28"/>
        <v>1.190513684608359</v>
      </c>
      <c r="E22" s="12">
        <f t="shared" si="16"/>
        <v>1.190513684608359</v>
      </c>
      <c r="F22" s="4">
        <f t="shared" si="17"/>
        <v>0.59525684230417952</v>
      </c>
      <c r="G22" s="5">
        <f t="shared" si="6"/>
        <v>50</v>
      </c>
      <c r="H22" s="6">
        <f t="shared" si="18"/>
        <v>0.30316111143579288</v>
      </c>
      <c r="I22" s="13">
        <f>I21</f>
        <v>33.311163494450973</v>
      </c>
      <c r="J22" s="13">
        <f t="shared" si="29"/>
        <v>0.3468175985774733</v>
      </c>
      <c r="K22" s="13">
        <f>I22-J22</f>
        <v>32.9643458958735</v>
      </c>
      <c r="L22" s="47">
        <v>18</v>
      </c>
      <c r="M22" s="47">
        <v>15</v>
      </c>
      <c r="N22" s="4">
        <f t="shared" si="19"/>
        <v>15.311163494450973</v>
      </c>
      <c r="O22" s="12">
        <f t="shared" si="20"/>
        <v>17.9643458958735</v>
      </c>
      <c r="P22" s="63"/>
      <c r="R22" s="2"/>
    </row>
    <row r="23" spans="1:18" ht="16.149999999999999" customHeight="1">
      <c r="A23" s="55" t="s">
        <v>60</v>
      </c>
      <c r="B23" s="88">
        <v>46</v>
      </c>
      <c r="C23" s="4">
        <f>E21+E22</f>
        <v>11.482053058696316</v>
      </c>
      <c r="D23" s="4">
        <f t="shared" si="28"/>
        <v>0.48292442232790578</v>
      </c>
      <c r="E23" s="12">
        <f t="shared" si="15"/>
        <v>11.964977481024222</v>
      </c>
      <c r="F23" s="4">
        <f t="shared" si="1"/>
        <v>11.723515269860268</v>
      </c>
      <c r="G23" s="5">
        <f t="shared" si="6"/>
        <v>150</v>
      </c>
      <c r="H23" s="6">
        <f t="shared" si="2"/>
        <v>0.663413703978738</v>
      </c>
      <c r="I23" s="13">
        <f>K23+J23</f>
        <v>33.476824117088341</v>
      </c>
      <c r="J23" s="13">
        <f t="shared" si="29"/>
        <v>0.16566062263737152</v>
      </c>
      <c r="K23" s="13">
        <f>I21</f>
        <v>33.311163494450973</v>
      </c>
      <c r="L23" s="47">
        <v>18</v>
      </c>
      <c r="M23" s="47">
        <v>18</v>
      </c>
      <c r="N23" s="4">
        <f t="shared" si="3"/>
        <v>15.476824117088341</v>
      </c>
      <c r="O23" s="12">
        <f t="shared" si="4"/>
        <v>15.311163494450973</v>
      </c>
      <c r="P23" s="63"/>
      <c r="R23" s="11"/>
    </row>
    <row r="24" spans="1:18" ht="16.149999999999999" customHeight="1">
      <c r="A24" s="55" t="s">
        <v>61</v>
      </c>
      <c r="B24" s="88">
        <v>110</v>
      </c>
      <c r="C24" s="4">
        <v>0</v>
      </c>
      <c r="D24" s="4">
        <f t="shared" si="28"/>
        <v>1.1548192707841225</v>
      </c>
      <c r="E24" s="12">
        <f t="shared" si="15"/>
        <v>1.1548192707841225</v>
      </c>
      <c r="F24" s="4">
        <f t="shared" si="1"/>
        <v>0.57740963539206125</v>
      </c>
      <c r="G24" s="5">
        <f t="shared" si="6"/>
        <v>50</v>
      </c>
      <c r="H24" s="6">
        <f t="shared" si="2"/>
        <v>0.29407162484953453</v>
      </c>
      <c r="I24" s="13">
        <f>I23</f>
        <v>33.476824117088341</v>
      </c>
      <c r="J24" s="13">
        <f t="shared" si="29"/>
        <v>0.31799703745264629</v>
      </c>
      <c r="K24" s="13">
        <f t="shared" ref="K24" si="30">I24-J24</f>
        <v>33.158827079635692</v>
      </c>
      <c r="L24" s="47">
        <v>18</v>
      </c>
      <c r="M24" s="47">
        <v>16</v>
      </c>
      <c r="N24" s="4">
        <f t="shared" si="3"/>
        <v>15.476824117088341</v>
      </c>
      <c r="O24" s="12">
        <f t="shared" si="4"/>
        <v>17.158827079635692</v>
      </c>
      <c r="P24" s="63"/>
      <c r="R24" s="11"/>
    </row>
    <row r="25" spans="1:18" s="60" customFormat="1" ht="16.149999999999999" customHeight="1">
      <c r="A25" s="55" t="s">
        <v>62</v>
      </c>
      <c r="B25" s="88">
        <v>32</v>
      </c>
      <c r="C25" s="4">
        <f>E23+E24</f>
        <v>13.119796751808344</v>
      </c>
      <c r="D25" s="4">
        <f t="shared" si="28"/>
        <v>0.33594742422810836</v>
      </c>
      <c r="E25" s="12">
        <f t="shared" ref="E25" si="31">C25+D25</f>
        <v>13.455744176036452</v>
      </c>
      <c r="F25" s="4">
        <f t="shared" ref="F25" si="32">(C25+E25)/2</f>
        <v>13.287770463922399</v>
      </c>
      <c r="G25" s="5">
        <f t="shared" si="6"/>
        <v>150</v>
      </c>
      <c r="H25" s="6">
        <f t="shared" ref="H25" si="33">((4*(F25/1000))/((3.1416*(G25/1000)^2)))</f>
        <v>0.75193223347890104</v>
      </c>
      <c r="I25" s="13">
        <f>K25+J25</f>
        <v>33.622115823443323</v>
      </c>
      <c r="J25" s="13">
        <f t="shared" si="29"/>
        <v>0.14529170635498237</v>
      </c>
      <c r="K25" s="13">
        <f>I23</f>
        <v>33.476824117088341</v>
      </c>
      <c r="L25" s="47">
        <v>17</v>
      </c>
      <c r="M25" s="47">
        <v>18</v>
      </c>
      <c r="N25" s="4">
        <f t="shared" ref="N25" si="34">I25-L25</f>
        <v>16.622115823443323</v>
      </c>
      <c r="O25" s="12">
        <f t="shared" ref="O25" si="35">K25-M25</f>
        <v>15.476824117088341</v>
      </c>
      <c r="P25" s="63"/>
      <c r="R25" s="11"/>
    </row>
    <row r="26" spans="1:18" s="61" customFormat="1" ht="16.149999999999999" customHeight="1">
      <c r="A26" s="55" t="s">
        <v>63</v>
      </c>
      <c r="B26" s="88">
        <v>52</v>
      </c>
      <c r="C26" s="4">
        <v>0</v>
      </c>
      <c r="D26" s="4">
        <f t="shared" ref="D26" si="36">B26*$D$56</f>
        <v>0.54591456437067609</v>
      </c>
      <c r="E26" s="12">
        <f t="shared" ref="E26" si="37">C26+D26</f>
        <v>0.54591456437067609</v>
      </c>
      <c r="F26" s="4">
        <f t="shared" ref="F26" si="38">(C26+E26)/2</f>
        <v>0.27295728218533805</v>
      </c>
      <c r="G26" s="5">
        <f t="shared" si="6"/>
        <v>50</v>
      </c>
      <c r="H26" s="6">
        <f t="shared" ref="H26" si="39">((4*(F26/1000))/((3.1416*(G26/1000)^2)))</f>
        <v>0.13901567720159816</v>
      </c>
      <c r="I26" s="13">
        <f>K27</f>
        <v>32.660483906653567</v>
      </c>
      <c r="J26" s="13">
        <f t="shared" ref="J26" si="40">(10.643*(F26/1000)^1.85*B26)/($D$57^1.85*(G26/1000)^4.87)</f>
        <v>3.7589231834499325E-2</v>
      </c>
      <c r="K26" s="13">
        <f>I26-J26</f>
        <v>32.622894674819065</v>
      </c>
      <c r="L26" s="47">
        <v>15</v>
      </c>
      <c r="M26" s="47">
        <v>16</v>
      </c>
      <c r="N26" s="4">
        <f t="shared" ref="N26" si="41">I26-L26</f>
        <v>17.660483906653567</v>
      </c>
      <c r="O26" s="12">
        <f t="shared" ref="O26" si="42">K26-M26</f>
        <v>16.622894674819065</v>
      </c>
      <c r="P26" s="63"/>
      <c r="R26" s="11"/>
    </row>
    <row r="27" spans="1:18" s="60" customFormat="1" ht="16.149999999999999" customHeight="1">
      <c r="A27" s="55" t="s">
        <v>64</v>
      </c>
      <c r="B27" s="88">
        <v>44</v>
      </c>
      <c r="C27" s="4">
        <f>E26</f>
        <v>0.54591456437067609</v>
      </c>
      <c r="D27" s="4">
        <f t="shared" ref="D27" si="43">B27*$D$56</f>
        <v>0.46192770831364899</v>
      </c>
      <c r="E27" s="12">
        <f t="shared" ref="E27" si="44">C27+D27</f>
        <v>1.007842272684325</v>
      </c>
      <c r="F27" s="4">
        <f t="shared" ref="F27" si="45">(C27+E27)/2</f>
        <v>0.77687841852750061</v>
      </c>
      <c r="G27" s="5">
        <f t="shared" si="6"/>
        <v>50</v>
      </c>
      <c r="H27" s="6">
        <f t="shared" ref="H27" si="46">((4*(F27/1000))/((3.1416*(G27/1000)^2)))</f>
        <v>0.39566000434301013</v>
      </c>
      <c r="I27" s="13">
        <f>K28</f>
        <v>32.880721154461263</v>
      </c>
      <c r="J27" s="13">
        <f t="shared" ref="J27:J47" si="47">(10.643*(F27/1000)^1.85*B27)/($D$57^1.85*(G27/1000)^4.87)</f>
        <v>0.2202372478076971</v>
      </c>
      <c r="K27" s="13">
        <f>I27-J27</f>
        <v>32.660483906653567</v>
      </c>
      <c r="L27" s="47">
        <v>16</v>
      </c>
      <c r="M27" s="47">
        <v>15</v>
      </c>
      <c r="N27" s="4">
        <f t="shared" ref="N27" si="48">I27-L27</f>
        <v>16.880721154461263</v>
      </c>
      <c r="O27" s="12">
        <f t="shared" ref="O27" si="49">K27-M27</f>
        <v>17.660483906653567</v>
      </c>
      <c r="P27" s="63"/>
      <c r="R27" s="11"/>
    </row>
    <row r="28" spans="1:18" ht="16.149999999999999" customHeight="1">
      <c r="A28" s="55" t="s">
        <v>65</v>
      </c>
      <c r="B28" s="88">
        <v>32</v>
      </c>
      <c r="C28" s="4">
        <f>E27</f>
        <v>1.007842272684325</v>
      </c>
      <c r="D28" s="4">
        <f t="shared" ref="D28:D46" si="50">B28*$D$56</f>
        <v>0.33594742422810836</v>
      </c>
      <c r="E28" s="12">
        <f t="shared" si="15"/>
        <v>1.3437896969124334</v>
      </c>
      <c r="F28" s="4">
        <f t="shared" si="1"/>
        <v>1.1758159847983793</v>
      </c>
      <c r="G28" s="5">
        <f t="shared" si="6"/>
        <v>50</v>
      </c>
      <c r="H28" s="6">
        <f t="shared" si="2"/>
        <v>0.59883676332996139</v>
      </c>
      <c r="I28" s="13">
        <f>K29</f>
        <v>33.22551756303757</v>
      </c>
      <c r="J28" s="13">
        <f t="shared" si="47"/>
        <v>0.34479640857630445</v>
      </c>
      <c r="K28" s="13">
        <f>I28-J28</f>
        <v>32.880721154461263</v>
      </c>
      <c r="L28" s="47">
        <v>17</v>
      </c>
      <c r="M28" s="47">
        <v>16</v>
      </c>
      <c r="N28" s="4">
        <f t="shared" si="3"/>
        <v>16.22551756303757</v>
      </c>
      <c r="O28" s="12">
        <f t="shared" si="4"/>
        <v>16.880721154461263</v>
      </c>
      <c r="P28" s="63"/>
      <c r="R28" s="11"/>
    </row>
    <row r="29" spans="1:18" s="58" customFormat="1" ht="16.149999999999999" customHeight="1">
      <c r="A29" s="55" t="s">
        <v>66</v>
      </c>
      <c r="B29" s="88">
        <v>108</v>
      </c>
      <c r="C29" s="4">
        <f>E28</f>
        <v>1.3437896969124334</v>
      </c>
      <c r="D29" s="4">
        <f t="shared" si="50"/>
        <v>1.1338225567698657</v>
      </c>
      <c r="E29" s="12">
        <f t="shared" ref="E29:E38" si="51">C29+D29</f>
        <v>2.4776122536822989</v>
      </c>
      <c r="F29" s="4">
        <f t="shared" ref="F29:F38" si="52">(C29+E29)/2</f>
        <v>1.9107009752973663</v>
      </c>
      <c r="G29" s="5">
        <f t="shared" si="6"/>
        <v>75</v>
      </c>
      <c r="H29" s="6">
        <f t="shared" ref="H29:H38" si="53">((4*(F29/1000))/((3.1416*(G29/1000)^2)))</f>
        <v>0.4324932179605277</v>
      </c>
      <c r="I29" s="13">
        <f>I25</f>
        <v>33.622115823443323</v>
      </c>
      <c r="J29" s="13">
        <f t="shared" si="47"/>
        <v>0.39659826040575463</v>
      </c>
      <c r="K29" s="13">
        <f>I29-J29</f>
        <v>33.22551756303757</v>
      </c>
      <c r="L29" s="47">
        <v>17</v>
      </c>
      <c r="M29" s="47">
        <v>17</v>
      </c>
      <c r="N29" s="4">
        <f t="shared" ref="N29:N38" si="54">I29-L29</f>
        <v>16.622115823443323</v>
      </c>
      <c r="O29" s="12">
        <f t="shared" ref="O29:O38" si="55">K29-M29</f>
        <v>16.22551756303757</v>
      </c>
      <c r="P29" s="63"/>
      <c r="R29" s="11"/>
    </row>
    <row r="30" spans="1:18" s="58" customFormat="1" ht="16.149999999999999" customHeight="1">
      <c r="A30" s="55" t="s">
        <v>67</v>
      </c>
      <c r="B30" s="88">
        <v>66</v>
      </c>
      <c r="C30" s="4">
        <f>E25+E29</f>
        <v>15.933356429718751</v>
      </c>
      <c r="D30" s="4">
        <f t="shared" si="50"/>
        <v>0.69289156247047345</v>
      </c>
      <c r="E30" s="12">
        <f t="shared" si="51"/>
        <v>16.626247992189224</v>
      </c>
      <c r="F30" s="4">
        <f t="shared" si="52"/>
        <v>16.279802210953989</v>
      </c>
      <c r="G30" s="5">
        <f t="shared" si="6"/>
        <v>200</v>
      </c>
      <c r="H30" s="6">
        <f t="shared" si="53"/>
        <v>0.51820098710701512</v>
      </c>
      <c r="I30" s="13">
        <f>K30+J30</f>
        <v>33.729600758104482</v>
      </c>
      <c r="J30" s="13">
        <f t="shared" si="47"/>
        <v>0.10748493466115655</v>
      </c>
      <c r="K30" s="13">
        <f>I25</f>
        <v>33.622115823443323</v>
      </c>
      <c r="L30" s="47">
        <v>17</v>
      </c>
      <c r="M30" s="47">
        <v>17</v>
      </c>
      <c r="N30" s="4">
        <f t="shared" si="54"/>
        <v>16.729600758104482</v>
      </c>
      <c r="O30" s="12">
        <f t="shared" si="55"/>
        <v>16.622115823443323</v>
      </c>
      <c r="P30" s="63"/>
      <c r="R30" s="11"/>
    </row>
    <row r="31" spans="1:18" s="58" customFormat="1">
      <c r="A31" s="55" t="s">
        <v>68</v>
      </c>
      <c r="B31" s="88">
        <v>175.5</v>
      </c>
      <c r="C31" s="4">
        <v>0</v>
      </c>
      <c r="D31" s="4">
        <f t="shared" si="50"/>
        <v>1.8424616547510317</v>
      </c>
      <c r="E31" s="12">
        <f t="shared" si="51"/>
        <v>1.8424616547510317</v>
      </c>
      <c r="F31" s="4">
        <f t="shared" si="52"/>
        <v>0.92123082737551587</v>
      </c>
      <c r="G31" s="5">
        <f t="shared" si="6"/>
        <v>50</v>
      </c>
      <c r="H31" s="6">
        <f t="shared" si="53"/>
        <v>0.46917791055539376</v>
      </c>
      <c r="I31" s="13">
        <f>K32</f>
        <v>33.400973000618329</v>
      </c>
      <c r="J31" s="13">
        <f t="shared" si="47"/>
        <v>1.2040477641750531</v>
      </c>
      <c r="K31" s="13">
        <f t="shared" ref="K31:K38" si="56">I31-J31</f>
        <v>32.196925236443278</v>
      </c>
      <c r="L31" s="47">
        <v>16</v>
      </c>
      <c r="M31" s="47">
        <v>15</v>
      </c>
      <c r="N31" s="4">
        <f t="shared" si="54"/>
        <v>17.400973000618329</v>
      </c>
      <c r="O31" s="12">
        <f t="shared" si="55"/>
        <v>17.196925236443278</v>
      </c>
      <c r="P31" s="63"/>
      <c r="R31" s="11"/>
    </row>
    <row r="32" spans="1:18" s="58" customFormat="1">
      <c r="A32" s="55" t="s">
        <v>69</v>
      </c>
      <c r="B32" s="88">
        <v>180.4</v>
      </c>
      <c r="C32" s="4">
        <f>E31</f>
        <v>1.8424616547510317</v>
      </c>
      <c r="D32" s="4">
        <f t="shared" si="50"/>
        <v>1.8939036040859609</v>
      </c>
      <c r="E32" s="12">
        <f t="shared" si="51"/>
        <v>3.7363652588369929</v>
      </c>
      <c r="F32" s="4">
        <f t="shared" si="52"/>
        <v>2.7894134567940121</v>
      </c>
      <c r="G32" s="5">
        <f t="shared" si="6"/>
        <v>100</v>
      </c>
      <c r="H32" s="6">
        <f t="shared" si="53"/>
        <v>0.35515832146600607</v>
      </c>
      <c r="I32" s="13">
        <f>I30</f>
        <v>33.729600758104482</v>
      </c>
      <c r="J32" s="13">
        <f t="shared" si="47"/>
        <v>0.32862775748615275</v>
      </c>
      <c r="K32" s="13">
        <f t="shared" si="56"/>
        <v>33.400973000618329</v>
      </c>
      <c r="L32" s="47">
        <v>17</v>
      </c>
      <c r="M32" s="47">
        <v>16</v>
      </c>
      <c r="N32" s="4">
        <f t="shared" si="54"/>
        <v>16.729600758104482</v>
      </c>
      <c r="O32" s="12">
        <f t="shared" si="55"/>
        <v>17.400973000618329</v>
      </c>
      <c r="P32" s="63"/>
      <c r="R32" s="11"/>
    </row>
    <row r="33" spans="1:18" s="60" customFormat="1">
      <c r="A33" s="55" t="s">
        <v>70</v>
      </c>
      <c r="B33" s="88">
        <v>46.6</v>
      </c>
      <c r="C33" s="4">
        <f>E30+E32</f>
        <v>20.362613251026218</v>
      </c>
      <c r="D33" s="4">
        <f t="shared" si="50"/>
        <v>0.48922343653218281</v>
      </c>
      <c r="E33" s="12">
        <f t="shared" ref="E33" si="57">C33+D33</f>
        <v>20.8518366875584</v>
      </c>
      <c r="F33" s="4">
        <f t="shared" ref="F33" si="58">(C33+E33)/2</f>
        <v>20.607224969292311</v>
      </c>
      <c r="G33" s="5">
        <f t="shared" si="6"/>
        <v>200</v>
      </c>
      <c r="H33" s="6">
        <f t="shared" ref="H33" si="59">((4*(F33/1000))/((3.1416*(G33/1000)^2)))</f>
        <v>0.65594680956494478</v>
      </c>
      <c r="I33" s="13">
        <f>K33+J33</f>
        <v>33.846975539380246</v>
      </c>
      <c r="J33" s="13">
        <f t="shared" si="47"/>
        <v>0.11737478127576333</v>
      </c>
      <c r="K33" s="13">
        <f>I30</f>
        <v>33.729600758104482</v>
      </c>
      <c r="L33" s="47">
        <v>17</v>
      </c>
      <c r="M33" s="47">
        <v>17</v>
      </c>
      <c r="N33" s="4">
        <f t="shared" ref="N33" si="60">I33-L33</f>
        <v>16.846975539380246</v>
      </c>
      <c r="O33" s="12">
        <f t="shared" ref="O33" si="61">K33-M33</f>
        <v>16.729600758104482</v>
      </c>
      <c r="P33" s="63"/>
      <c r="R33" s="11"/>
    </row>
    <row r="34" spans="1:18" s="58" customFormat="1">
      <c r="A34" s="55" t="s">
        <v>71</v>
      </c>
      <c r="B34" s="88">
        <v>143</v>
      </c>
      <c r="C34" s="4">
        <v>0</v>
      </c>
      <c r="D34" s="4">
        <f t="shared" si="50"/>
        <v>1.5012650520193593</v>
      </c>
      <c r="E34" s="12">
        <f t="shared" si="51"/>
        <v>1.5012650520193593</v>
      </c>
      <c r="F34" s="4">
        <f t="shared" si="52"/>
        <v>0.75063252600967967</v>
      </c>
      <c r="G34" s="5">
        <f t="shared" si="6"/>
        <v>50</v>
      </c>
      <c r="H34" s="6">
        <f t="shared" si="53"/>
        <v>0.382293112304395</v>
      </c>
      <c r="I34" s="13">
        <f>K35</f>
        <v>33.305892942974729</v>
      </c>
      <c r="J34" s="13">
        <f t="shared" si="47"/>
        <v>0.67167877999528569</v>
      </c>
      <c r="K34" s="13">
        <f t="shared" si="56"/>
        <v>32.634214162979447</v>
      </c>
      <c r="L34" s="47">
        <v>16</v>
      </c>
      <c r="M34" s="47">
        <v>13</v>
      </c>
      <c r="N34" s="4">
        <f t="shared" si="54"/>
        <v>17.305892942974729</v>
      </c>
      <c r="O34" s="12">
        <f t="shared" si="55"/>
        <v>19.634214162979447</v>
      </c>
      <c r="P34" s="63"/>
      <c r="R34" s="11"/>
    </row>
    <row r="35" spans="1:18" s="58" customFormat="1" ht="16.149999999999999" customHeight="1">
      <c r="A35" s="55" t="s">
        <v>72</v>
      </c>
      <c r="B35" s="88">
        <v>30.7</v>
      </c>
      <c r="C35" s="4">
        <f>E34</f>
        <v>1.5012650520193593</v>
      </c>
      <c r="D35" s="4">
        <f t="shared" si="50"/>
        <v>0.32229956011884148</v>
      </c>
      <c r="E35" s="12">
        <f t="shared" si="51"/>
        <v>1.8235646121382008</v>
      </c>
      <c r="F35" s="4">
        <f t="shared" si="52"/>
        <v>1.6624148320787802</v>
      </c>
      <c r="G35" s="5">
        <f t="shared" si="6"/>
        <v>75</v>
      </c>
      <c r="H35" s="6">
        <f t="shared" si="53"/>
        <v>0.37629286298928333</v>
      </c>
      <c r="I35" s="13">
        <f>K37</f>
        <v>33.393034794328692</v>
      </c>
      <c r="J35" s="13">
        <f t="shared" si="47"/>
        <v>8.7141851353960492E-2</v>
      </c>
      <c r="K35" s="13">
        <f t="shared" si="56"/>
        <v>33.305892942974729</v>
      </c>
      <c r="L35" s="47">
        <v>16</v>
      </c>
      <c r="M35" s="47">
        <v>16</v>
      </c>
      <c r="N35" s="4">
        <f t="shared" si="54"/>
        <v>17.393034794328692</v>
      </c>
      <c r="O35" s="12">
        <f t="shared" si="55"/>
        <v>17.305892942974729</v>
      </c>
      <c r="P35" s="63"/>
      <c r="R35" s="11"/>
    </row>
    <row r="36" spans="1:18" s="58" customFormat="1" ht="16.149999999999999" customHeight="1">
      <c r="A36" s="55" t="s">
        <v>73</v>
      </c>
      <c r="B36" s="88">
        <v>139</v>
      </c>
      <c r="C36" s="4">
        <v>0</v>
      </c>
      <c r="D36" s="4">
        <f t="shared" si="50"/>
        <v>1.4592716239908456</v>
      </c>
      <c r="E36" s="12">
        <f t="shared" si="51"/>
        <v>1.4592716239908456</v>
      </c>
      <c r="F36" s="4">
        <f t="shared" si="52"/>
        <v>0.72963581199542282</v>
      </c>
      <c r="G36" s="5">
        <f t="shared" si="6"/>
        <v>50</v>
      </c>
      <c r="H36" s="6">
        <f t="shared" si="53"/>
        <v>0.37159959867350273</v>
      </c>
      <c r="I36" s="13">
        <f>K37</f>
        <v>33.393034794328692</v>
      </c>
      <c r="J36" s="13">
        <f t="shared" si="47"/>
        <v>0.61950683460641687</v>
      </c>
      <c r="K36" s="13">
        <f t="shared" si="56"/>
        <v>32.773527959722273</v>
      </c>
      <c r="L36" s="47">
        <v>16</v>
      </c>
      <c r="M36" s="47">
        <v>13</v>
      </c>
      <c r="N36" s="4">
        <f t="shared" si="54"/>
        <v>17.393034794328692</v>
      </c>
      <c r="O36" s="12">
        <f t="shared" si="55"/>
        <v>19.773527959722273</v>
      </c>
      <c r="P36" s="63"/>
      <c r="R36" s="11"/>
    </row>
    <row r="37" spans="1:18" s="58" customFormat="1" ht="16.149999999999999" customHeight="1">
      <c r="A37" s="55" t="s">
        <v>74</v>
      </c>
      <c r="B37" s="88">
        <v>44</v>
      </c>
      <c r="C37" s="4">
        <f>E36+E35</f>
        <v>3.2828362361290466</v>
      </c>
      <c r="D37" s="4">
        <f t="shared" si="50"/>
        <v>0.46192770831364899</v>
      </c>
      <c r="E37" s="12">
        <f t="shared" si="51"/>
        <v>3.7447639444426954</v>
      </c>
      <c r="F37" s="4">
        <f t="shared" si="52"/>
        <v>3.513800090285871</v>
      </c>
      <c r="G37" s="5">
        <f t="shared" si="6"/>
        <v>100</v>
      </c>
      <c r="H37" s="6">
        <f t="shared" si="53"/>
        <v>0.44738987653245099</v>
      </c>
      <c r="I37" s="13">
        <f>K38</f>
        <v>33.515894389153686</v>
      </c>
      <c r="J37" s="13">
        <f t="shared" si="47"/>
        <v>0.12285959482499408</v>
      </c>
      <c r="K37" s="13">
        <f t="shared" si="56"/>
        <v>33.393034794328692</v>
      </c>
      <c r="L37" s="47">
        <v>16</v>
      </c>
      <c r="M37" s="47">
        <v>16</v>
      </c>
      <c r="N37" s="4">
        <f t="shared" si="54"/>
        <v>17.515894389153686</v>
      </c>
      <c r="O37" s="12">
        <f t="shared" si="55"/>
        <v>17.393034794328692</v>
      </c>
      <c r="P37" s="63"/>
      <c r="R37" s="11"/>
    </row>
    <row r="38" spans="1:18" s="58" customFormat="1" ht="16.149999999999999" customHeight="1">
      <c r="A38" s="55" t="s">
        <v>75</v>
      </c>
      <c r="B38" s="88">
        <v>42</v>
      </c>
      <c r="C38" s="4">
        <f>E37</f>
        <v>3.7447639444426954</v>
      </c>
      <c r="D38" s="4">
        <f t="shared" si="50"/>
        <v>0.4409309942993922</v>
      </c>
      <c r="E38" s="12">
        <f t="shared" si="51"/>
        <v>4.1856949387420874</v>
      </c>
      <c r="F38" s="4">
        <f t="shared" si="52"/>
        <v>3.9652294415923914</v>
      </c>
      <c r="G38" s="5">
        <f t="shared" si="6"/>
        <v>100</v>
      </c>
      <c r="H38" s="6">
        <f t="shared" si="53"/>
        <v>0.50486751229849647</v>
      </c>
      <c r="I38" s="13">
        <f>K40</f>
        <v>33.662555357017183</v>
      </c>
      <c r="J38" s="13">
        <f t="shared" si="47"/>
        <v>0.14666096786349631</v>
      </c>
      <c r="K38" s="13">
        <f t="shared" si="56"/>
        <v>33.515894389153686</v>
      </c>
      <c r="L38" s="47">
        <v>16</v>
      </c>
      <c r="M38" s="47">
        <v>16</v>
      </c>
      <c r="N38" s="4">
        <f t="shared" si="54"/>
        <v>17.662555357017183</v>
      </c>
      <c r="O38" s="12">
        <f t="shared" si="55"/>
        <v>17.515894389153686</v>
      </c>
      <c r="P38" s="63"/>
      <c r="R38" s="11"/>
    </row>
    <row r="39" spans="1:18" s="58" customFormat="1" ht="16.149999999999999" customHeight="1">
      <c r="A39" s="55" t="s">
        <v>76</v>
      </c>
      <c r="B39" s="88">
        <v>204</v>
      </c>
      <c r="C39" s="4">
        <v>0</v>
      </c>
      <c r="D39" s="4">
        <f t="shared" si="50"/>
        <v>2.1416648294541907</v>
      </c>
      <c r="E39" s="12">
        <f t="shared" ref="E39:E41" si="62">C39+D39</f>
        <v>2.1416648294541907</v>
      </c>
      <c r="F39" s="4">
        <f t="shared" ref="F39:F41" si="63">(C39+E39)/2</f>
        <v>1.0708324147270953</v>
      </c>
      <c r="G39" s="5">
        <f t="shared" si="6"/>
        <v>50</v>
      </c>
      <c r="H39" s="6">
        <f t="shared" ref="H39:H41" si="64">((4*(F39/1000))/((3.1416*(G39/1000)^2)))</f>
        <v>0.54536919517550053</v>
      </c>
      <c r="I39" s="13">
        <f>K40</f>
        <v>33.662555357017183</v>
      </c>
      <c r="J39" s="13">
        <f t="shared" si="47"/>
        <v>1.8488424258942855</v>
      </c>
      <c r="K39" s="13">
        <f t="shared" ref="K39:K40" si="65">I39-J39</f>
        <v>31.813712931122897</v>
      </c>
      <c r="L39" s="47">
        <v>16</v>
      </c>
      <c r="M39" s="47">
        <v>14</v>
      </c>
      <c r="N39" s="4">
        <f t="shared" ref="N39:N41" si="66">I39-L39</f>
        <v>17.662555357017183</v>
      </c>
      <c r="O39" s="12">
        <f t="shared" ref="O39:O41" si="67">K39-M39</f>
        <v>17.813712931122897</v>
      </c>
      <c r="P39" s="63"/>
      <c r="R39" s="11"/>
    </row>
    <row r="40" spans="1:18" s="58" customFormat="1" ht="16.149999999999999" customHeight="1">
      <c r="A40" s="55" t="s">
        <v>77</v>
      </c>
      <c r="B40" s="88">
        <v>132.19999999999999</v>
      </c>
      <c r="C40" s="4">
        <f>E39+E38</f>
        <v>6.3273597681962777</v>
      </c>
      <c r="D40" s="4">
        <f t="shared" si="50"/>
        <v>1.3878827963423725</v>
      </c>
      <c r="E40" s="12">
        <f t="shared" si="62"/>
        <v>7.7152425645386504</v>
      </c>
      <c r="F40" s="4">
        <f t="shared" si="63"/>
        <v>7.021301166367464</v>
      </c>
      <c r="G40" s="5">
        <f t="shared" si="6"/>
        <v>150</v>
      </c>
      <c r="H40" s="6">
        <f t="shared" si="64"/>
        <v>0.39732343979670454</v>
      </c>
      <c r="I40" s="13">
        <f>I33</f>
        <v>33.846975539380246</v>
      </c>
      <c r="J40" s="13">
        <f t="shared" si="47"/>
        <v>0.18442018236306107</v>
      </c>
      <c r="K40" s="13">
        <f t="shared" si="65"/>
        <v>33.662555357017183</v>
      </c>
      <c r="L40" s="47">
        <v>17</v>
      </c>
      <c r="M40" s="47">
        <v>16</v>
      </c>
      <c r="N40" s="4">
        <f t="shared" si="66"/>
        <v>16.846975539380246</v>
      </c>
      <c r="O40" s="12">
        <f t="shared" si="67"/>
        <v>17.662555357017183</v>
      </c>
      <c r="P40" s="63"/>
      <c r="R40" s="11"/>
    </row>
    <row r="41" spans="1:18" s="58" customFormat="1" ht="16.149999999999999" customHeight="1">
      <c r="A41" s="55" t="s">
        <v>78</v>
      </c>
      <c r="B41" s="88">
        <v>31.3</v>
      </c>
      <c r="C41" s="4">
        <f>E40+E33</f>
        <v>28.567079252097052</v>
      </c>
      <c r="D41" s="4">
        <f t="shared" si="50"/>
        <v>0.32859857432311851</v>
      </c>
      <c r="E41" s="12">
        <f t="shared" si="62"/>
        <v>28.895677826420172</v>
      </c>
      <c r="F41" s="4">
        <f t="shared" si="63"/>
        <v>28.731378539258614</v>
      </c>
      <c r="G41" s="5">
        <v>200</v>
      </c>
      <c r="H41" s="6">
        <f t="shared" si="64"/>
        <v>0.9145460446670044</v>
      </c>
      <c r="I41" s="13">
        <f>K41+J41</f>
        <v>33.992775221648415</v>
      </c>
      <c r="J41" s="13">
        <f t="shared" si="47"/>
        <v>0.14579968226816956</v>
      </c>
      <c r="K41" s="13">
        <f>I33</f>
        <v>33.846975539380246</v>
      </c>
      <c r="L41" s="47">
        <v>16</v>
      </c>
      <c r="M41" s="47">
        <v>17</v>
      </c>
      <c r="N41" s="4">
        <f t="shared" si="66"/>
        <v>17.992775221648415</v>
      </c>
      <c r="O41" s="12">
        <f t="shared" si="67"/>
        <v>16.846975539380246</v>
      </c>
      <c r="P41" s="63"/>
      <c r="R41" s="11"/>
    </row>
    <row r="42" spans="1:18" s="58" customFormat="1" ht="16.149999999999999" customHeight="1">
      <c r="A42" s="55" t="s">
        <v>79</v>
      </c>
      <c r="B42" s="88">
        <v>149</v>
      </c>
      <c r="C42" s="4">
        <v>0</v>
      </c>
      <c r="D42" s="4">
        <f t="shared" si="50"/>
        <v>1.5642551940621297</v>
      </c>
      <c r="E42" s="12">
        <f t="shared" ref="E42:E45" si="68">C42+D42</f>
        <v>1.5642551940621297</v>
      </c>
      <c r="F42" s="4">
        <f t="shared" ref="F42:F45" si="69">(C42+E42)/2</f>
        <v>0.78212759703106483</v>
      </c>
      <c r="G42" s="5">
        <f t="shared" si="6"/>
        <v>50</v>
      </c>
      <c r="H42" s="6">
        <f t="shared" ref="H42:H45" si="70">((4*(F42/1000))/((3.1416*(G42/1000)^2)))</f>
        <v>0.39833338275073321</v>
      </c>
      <c r="I42" s="13">
        <f>K44</f>
        <v>33.763549140193462</v>
      </c>
      <c r="J42" s="13">
        <f t="shared" si="47"/>
        <v>0.7551527117288519</v>
      </c>
      <c r="K42" s="13">
        <f t="shared" ref="K42:K44" si="71">I42-J42</f>
        <v>33.008396428464607</v>
      </c>
      <c r="L42" s="47">
        <v>17</v>
      </c>
      <c r="M42" s="47">
        <v>15</v>
      </c>
      <c r="N42" s="4">
        <f t="shared" ref="N42:N45" si="72">I42-L42</f>
        <v>16.763549140193462</v>
      </c>
      <c r="O42" s="12">
        <f t="shared" ref="O42:O45" si="73">K42-M42</f>
        <v>18.008396428464607</v>
      </c>
      <c r="P42" s="63"/>
      <c r="R42" s="11"/>
    </row>
    <row r="43" spans="1:18" s="58" customFormat="1" ht="16.149999999999999" customHeight="1">
      <c r="A43" s="55" t="s">
        <v>80</v>
      </c>
      <c r="B43" s="88">
        <v>16</v>
      </c>
      <c r="C43" s="4">
        <v>0</v>
      </c>
      <c r="D43" s="4">
        <f t="shared" si="50"/>
        <v>0.16797371211405418</v>
      </c>
      <c r="E43" s="12">
        <f t="shared" si="68"/>
        <v>0.16797371211405418</v>
      </c>
      <c r="F43" s="4">
        <f t="shared" si="69"/>
        <v>8.398685605702709E-2</v>
      </c>
      <c r="G43" s="5">
        <f t="shared" si="6"/>
        <v>50</v>
      </c>
      <c r="H43" s="6">
        <f t="shared" si="70"/>
        <v>4.2774054523568666E-2</v>
      </c>
      <c r="I43" s="13">
        <f>K44</f>
        <v>33.763549140193462</v>
      </c>
      <c r="J43" s="13">
        <f t="shared" si="47"/>
        <v>1.3067601192684264E-3</v>
      </c>
      <c r="K43" s="13">
        <f t="shared" si="71"/>
        <v>33.762242380074191</v>
      </c>
      <c r="L43" s="47">
        <v>17</v>
      </c>
      <c r="M43" s="47">
        <v>17</v>
      </c>
      <c r="N43" s="4">
        <f t="shared" si="72"/>
        <v>16.763549140193462</v>
      </c>
      <c r="O43" s="12">
        <f t="shared" si="73"/>
        <v>16.762242380074191</v>
      </c>
      <c r="P43" s="63"/>
      <c r="R43" s="11"/>
    </row>
    <row r="44" spans="1:18" s="58" customFormat="1">
      <c r="A44" s="55" t="s">
        <v>81</v>
      </c>
      <c r="B44" s="88">
        <v>56</v>
      </c>
      <c r="C44" s="4">
        <f>E42+E43</f>
        <v>1.7322289061761837</v>
      </c>
      <c r="D44" s="4">
        <f t="shared" si="50"/>
        <v>0.58790799239918967</v>
      </c>
      <c r="E44" s="12">
        <f t="shared" si="68"/>
        <v>2.3201368985753734</v>
      </c>
      <c r="F44" s="4">
        <f t="shared" si="69"/>
        <v>2.0261829023757785</v>
      </c>
      <c r="G44" s="5">
        <f t="shared" si="6"/>
        <v>75</v>
      </c>
      <c r="H44" s="6">
        <f t="shared" si="70"/>
        <v>0.45863291794715294</v>
      </c>
      <c r="I44" s="13">
        <f>I41</f>
        <v>33.992775221648415</v>
      </c>
      <c r="J44" s="13">
        <f t="shared" si="47"/>
        <v>0.22922608145495174</v>
      </c>
      <c r="K44" s="13">
        <f t="shared" si="71"/>
        <v>33.763549140193462</v>
      </c>
      <c r="L44" s="47">
        <v>16</v>
      </c>
      <c r="M44" s="47">
        <v>17</v>
      </c>
      <c r="N44" s="4">
        <f t="shared" si="72"/>
        <v>17.992775221648415</v>
      </c>
      <c r="O44" s="12">
        <f t="shared" si="73"/>
        <v>16.763549140193462</v>
      </c>
      <c r="P44" s="63"/>
      <c r="R44" s="11"/>
    </row>
    <row r="45" spans="1:18" s="58" customFormat="1" ht="16.149999999999999" customHeight="1">
      <c r="A45" s="55" t="s">
        <v>82</v>
      </c>
      <c r="B45" s="88">
        <v>10</v>
      </c>
      <c r="C45" s="4">
        <f>E41+E44</f>
        <v>31.215814724995546</v>
      </c>
      <c r="D45" s="4">
        <f t="shared" si="50"/>
        <v>0.10498357007128387</v>
      </c>
      <c r="E45" s="12">
        <f t="shared" si="68"/>
        <v>31.32079829506683</v>
      </c>
      <c r="F45" s="4">
        <f t="shared" si="69"/>
        <v>31.268306510031188</v>
      </c>
      <c r="G45" s="5">
        <v>200</v>
      </c>
      <c r="H45" s="6">
        <f t="shared" si="70"/>
        <v>0.99529878119528836</v>
      </c>
      <c r="I45" s="13">
        <f>K45+J45</f>
        <v>34.047250047237199</v>
      </c>
      <c r="J45" s="13">
        <f t="shared" si="47"/>
        <v>5.447482558878193E-2</v>
      </c>
      <c r="K45" s="13">
        <f>I41</f>
        <v>33.992775221648415</v>
      </c>
      <c r="L45" s="47">
        <v>16</v>
      </c>
      <c r="M45" s="47">
        <v>16</v>
      </c>
      <c r="N45" s="4">
        <f t="shared" si="72"/>
        <v>18.047250047237199</v>
      </c>
      <c r="O45" s="12">
        <f t="shared" si="73"/>
        <v>17.992775221648415</v>
      </c>
      <c r="P45" s="63"/>
      <c r="R45" s="11"/>
    </row>
    <row r="46" spans="1:18" s="59" customFormat="1" ht="16.149999999999999" customHeight="1">
      <c r="A46" s="55" t="s">
        <v>83</v>
      </c>
      <c r="B46" s="88">
        <v>191.7</v>
      </c>
      <c r="C46" s="4">
        <v>0</v>
      </c>
      <c r="D46" s="4">
        <f t="shared" si="50"/>
        <v>2.0125350382665115</v>
      </c>
      <c r="E46" s="12">
        <f t="shared" ref="E46:E47" si="74">C46+D46</f>
        <v>2.0125350382665115</v>
      </c>
      <c r="F46" s="4">
        <f t="shared" ref="F46:F47" si="75">(C46+E46)/2</f>
        <v>1.0062675191332557</v>
      </c>
      <c r="G46" s="5">
        <f t="shared" si="6"/>
        <v>50</v>
      </c>
      <c r="H46" s="6">
        <f t="shared" ref="H46:H47" si="76">((4*(F46/1000))/((3.1416*(G46/1000)^2)))</f>
        <v>0.5124866407605071</v>
      </c>
      <c r="I46" s="13">
        <f>I45</f>
        <v>34.047250047237199</v>
      </c>
      <c r="J46" s="13">
        <f t="shared" si="47"/>
        <v>1.5485560989523333</v>
      </c>
      <c r="K46" s="13">
        <f>I46-J46</f>
        <v>32.498693948284867</v>
      </c>
      <c r="L46" s="47">
        <v>16</v>
      </c>
      <c r="M46" s="47">
        <v>15</v>
      </c>
      <c r="N46" s="4">
        <f t="shared" ref="N46:N47" si="77">I46-L46</f>
        <v>18.047250047237199</v>
      </c>
      <c r="O46" s="12">
        <f t="shared" ref="O46:O47" si="78">K46-M46</f>
        <v>17.498693948284867</v>
      </c>
      <c r="P46" s="63"/>
      <c r="R46" s="11"/>
    </row>
    <row r="47" spans="1:18" s="59" customFormat="1" ht="22.5">
      <c r="A47" s="55" t="s">
        <v>84</v>
      </c>
      <c r="B47" s="88">
        <v>16</v>
      </c>
      <c r="C47" s="4">
        <f>E45+E46</f>
        <v>33.333333333333343</v>
      </c>
      <c r="D47" s="4"/>
      <c r="E47" s="12">
        <f t="shared" si="74"/>
        <v>33.333333333333343</v>
      </c>
      <c r="F47" s="4">
        <f t="shared" si="75"/>
        <v>33.333333333333343</v>
      </c>
      <c r="G47" s="5">
        <v>200</v>
      </c>
      <c r="H47" s="6">
        <f t="shared" si="76"/>
        <v>1.0610304727951787</v>
      </c>
      <c r="I47" s="13">
        <f>K47+J47</f>
        <v>34.1453566964692</v>
      </c>
      <c r="J47" s="13">
        <f t="shared" si="47"/>
        <v>9.8106649232002061E-2</v>
      </c>
      <c r="K47" s="13">
        <f>I45</f>
        <v>34.047250047237199</v>
      </c>
      <c r="L47" s="47">
        <v>16</v>
      </c>
      <c r="M47" s="47">
        <v>16</v>
      </c>
      <c r="N47" s="4">
        <f t="shared" si="77"/>
        <v>18.1453566964692</v>
      </c>
      <c r="O47" s="12">
        <f t="shared" si="78"/>
        <v>18.047250047237199</v>
      </c>
      <c r="P47" s="63" t="s">
        <v>89</v>
      </c>
      <c r="R47" s="11"/>
    </row>
    <row r="48" spans="1:18" ht="23.25" customHeight="1">
      <c r="A48" s="55" t="s">
        <v>91</v>
      </c>
      <c r="B48" s="96">
        <v>70</v>
      </c>
      <c r="C48" s="97">
        <v>16.66</v>
      </c>
      <c r="D48" s="97"/>
      <c r="E48" s="98">
        <f t="shared" ref="E48" si="79">C48+D48</f>
        <v>16.66</v>
      </c>
      <c r="F48" s="97">
        <f t="shared" ref="F48" si="80">(C48+E48)/2</f>
        <v>16.66</v>
      </c>
      <c r="G48" s="99">
        <v>150</v>
      </c>
      <c r="H48" s="100">
        <f t="shared" ref="H48" si="81">((4*(F48/1000))/((3.1416*(G48/1000)^2)))</f>
        <v>0.9427609427609428</v>
      </c>
      <c r="I48" s="101">
        <f>K36</f>
        <v>32.773527959722273</v>
      </c>
      <c r="J48" s="101">
        <f t="shared" ref="J48" si="82">(10.643*(F48/1000)^1.85*B48)/($D$57^1.85*(G48/1000)^4.87)</f>
        <v>0.48294893575620396</v>
      </c>
      <c r="K48" s="101">
        <f>I48-J48</f>
        <v>32.290579023966067</v>
      </c>
      <c r="L48" s="102">
        <v>16</v>
      </c>
      <c r="M48" s="102">
        <v>16</v>
      </c>
      <c r="N48" s="97">
        <f t="shared" ref="N48" si="83">I48-L48</f>
        <v>16.773527959722273</v>
      </c>
      <c r="O48" s="98">
        <f t="shared" ref="O48" si="84">K48-M48</f>
        <v>16.290579023966067</v>
      </c>
      <c r="P48" s="63" t="s">
        <v>90</v>
      </c>
      <c r="R48" s="11"/>
    </row>
    <row r="49" spans="1:22" ht="16.149999999999999" customHeight="1">
      <c r="A49" s="56"/>
      <c r="B49" s="41"/>
      <c r="C49" s="4"/>
      <c r="D49" s="4"/>
      <c r="E49" s="12"/>
      <c r="F49" s="4"/>
      <c r="G49" s="5"/>
      <c r="H49" s="6"/>
      <c r="I49" s="13"/>
      <c r="J49" s="13"/>
      <c r="K49" s="13"/>
      <c r="L49" s="12"/>
      <c r="M49" s="12"/>
      <c r="N49" s="4"/>
      <c r="O49" s="12"/>
      <c r="P49" s="66"/>
      <c r="R49" s="11"/>
    </row>
    <row r="50" spans="1:22" ht="16.149999999999999" customHeight="1">
      <c r="A50" s="56"/>
      <c r="B50" s="41"/>
      <c r="C50" s="42"/>
      <c r="D50" s="42"/>
      <c r="E50" s="43"/>
      <c r="F50" s="42"/>
      <c r="G50" s="46"/>
      <c r="H50" s="44"/>
      <c r="I50" s="45"/>
      <c r="J50" s="45"/>
      <c r="K50" s="45"/>
      <c r="L50" s="42"/>
      <c r="M50" s="42"/>
      <c r="N50" s="42"/>
      <c r="O50" s="43"/>
      <c r="P50" s="66"/>
      <c r="R50" s="11"/>
    </row>
    <row r="51" spans="1:22" ht="16.149999999999999" customHeight="1" thickBot="1">
      <c r="A51" s="57"/>
      <c r="B51" s="33"/>
      <c r="C51" s="34"/>
      <c r="D51" s="34"/>
      <c r="E51" s="35"/>
      <c r="F51" s="34"/>
      <c r="G51" s="36"/>
      <c r="H51" s="37"/>
      <c r="I51" s="38"/>
      <c r="J51" s="38"/>
      <c r="K51" s="38"/>
      <c r="L51" s="34"/>
      <c r="M51" s="34"/>
      <c r="N51" s="34"/>
      <c r="O51" s="35"/>
      <c r="P51" s="66"/>
      <c r="R51" s="11"/>
    </row>
    <row r="52" spans="1:22" ht="16.149999999999999" customHeight="1" thickTop="1">
      <c r="A52" s="31"/>
      <c r="B52" s="22"/>
      <c r="C52" s="17"/>
      <c r="D52" s="18"/>
      <c r="E52" s="17"/>
      <c r="F52" s="18"/>
      <c r="G52" s="11"/>
      <c r="H52" s="19"/>
      <c r="I52" s="18"/>
      <c r="J52" s="18"/>
      <c r="K52" s="18"/>
      <c r="L52" s="20"/>
      <c r="M52" s="20"/>
      <c r="N52" s="20"/>
      <c r="O52" s="20"/>
      <c r="P52" s="21"/>
      <c r="R52" s="11"/>
    </row>
    <row r="53" spans="1:22" ht="16.149999999999999" customHeight="1" thickBot="1">
      <c r="A53" s="137" t="s">
        <v>22</v>
      </c>
      <c r="B53" s="137"/>
      <c r="C53" s="137"/>
      <c r="R53" s="2"/>
    </row>
    <row r="54" spans="1:22" ht="16.149999999999999" customHeight="1" thickTop="1">
      <c r="A54" s="138" t="s">
        <v>23</v>
      </c>
      <c r="B54" s="139"/>
      <c r="C54" s="140"/>
      <c r="D54" s="39">
        <f>D63*D64*D65*D66/86400</f>
        <v>33.333333333333336</v>
      </c>
      <c r="E54" s="26" t="s">
        <v>0</v>
      </c>
      <c r="G54" s="95" t="s">
        <v>88</v>
      </c>
      <c r="H54" s="14"/>
      <c r="I54" s="14"/>
      <c r="J54" s="49">
        <v>200</v>
      </c>
      <c r="K54" s="28" t="s">
        <v>2</v>
      </c>
      <c r="L54" s="1"/>
      <c r="M54" s="131" t="s">
        <v>27</v>
      </c>
      <c r="N54" s="132"/>
      <c r="O54" s="82" t="s">
        <v>28</v>
      </c>
      <c r="P54" s="78"/>
      <c r="R54" s="2"/>
      <c r="T54" s="80"/>
      <c r="U54" s="81"/>
      <c r="V54" s="80"/>
    </row>
    <row r="55" spans="1:22" ht="16.149999999999999" customHeight="1">
      <c r="A55" s="128" t="s">
        <v>92</v>
      </c>
      <c r="B55" s="129"/>
      <c r="C55" s="130"/>
      <c r="D55" s="64">
        <f>SUM(B8:B46)</f>
        <v>3175.0999999999995</v>
      </c>
      <c r="E55" s="7" t="s">
        <v>1</v>
      </c>
      <c r="G55" s="15" t="s">
        <v>93</v>
      </c>
      <c r="H55" s="16"/>
      <c r="I55" s="16"/>
      <c r="J55" s="29">
        <f>I47</f>
        <v>34.1453566964692</v>
      </c>
      <c r="K55" s="30" t="s">
        <v>1</v>
      </c>
      <c r="M55" s="133"/>
      <c r="N55" s="134"/>
      <c r="O55" s="83" t="s">
        <v>29</v>
      </c>
      <c r="P55" s="79"/>
      <c r="R55" s="2"/>
      <c r="T55" s="80"/>
      <c r="U55" s="2"/>
      <c r="V55" s="80"/>
    </row>
    <row r="56" spans="1:22" ht="16.149999999999999" customHeight="1">
      <c r="A56" s="65" t="s">
        <v>38</v>
      </c>
      <c r="B56" s="16"/>
      <c r="C56" s="12"/>
      <c r="D56" s="40">
        <f>D54/D55</f>
        <v>1.0498357007128386E-2</v>
      </c>
      <c r="E56" s="7" t="s">
        <v>24</v>
      </c>
      <c r="G56" s="65" t="s">
        <v>87</v>
      </c>
      <c r="H56" s="94"/>
      <c r="I56" s="93"/>
      <c r="J56" s="29">
        <v>16</v>
      </c>
      <c r="K56" s="30" t="s">
        <v>1</v>
      </c>
      <c r="M56" s="135" t="s">
        <v>39</v>
      </c>
      <c r="N56" s="136"/>
      <c r="O56" s="84">
        <v>2073.5</v>
      </c>
      <c r="P56" s="67"/>
      <c r="S56" t="s">
        <v>37</v>
      </c>
      <c r="T56" s="80"/>
      <c r="U56" s="2"/>
      <c r="V56" s="80"/>
    </row>
    <row r="57" spans="1:22" ht="16.149999999999999" customHeight="1" thickBot="1">
      <c r="A57" s="23" t="s">
        <v>25</v>
      </c>
      <c r="B57" s="24"/>
      <c r="C57" s="25"/>
      <c r="D57" s="27">
        <v>130</v>
      </c>
      <c r="E57" s="8"/>
      <c r="G57" s="126" t="s">
        <v>26</v>
      </c>
      <c r="H57" s="127"/>
      <c r="I57" s="127"/>
      <c r="J57" s="29">
        <f>MIN(N8:O47)</f>
        <v>10</v>
      </c>
      <c r="K57" s="30" t="s">
        <v>3</v>
      </c>
      <c r="M57" s="135" t="s">
        <v>30</v>
      </c>
      <c r="N57" s="136"/>
      <c r="O57" s="84">
        <v>234.3</v>
      </c>
      <c r="P57" s="67"/>
      <c r="T57" s="80"/>
      <c r="U57" s="81"/>
      <c r="V57" s="80"/>
    </row>
    <row r="58" spans="1:22" ht="16.149999999999999" customHeight="1" thickTop="1" thickBot="1">
      <c r="A58" s="32"/>
      <c r="C58" s="9"/>
      <c r="G58" s="103" t="s">
        <v>85</v>
      </c>
      <c r="H58" s="104"/>
      <c r="I58" s="104"/>
      <c r="J58" s="91">
        <f>MAX(N8:O47)</f>
        <v>19.773527959722273</v>
      </c>
      <c r="K58" s="92" t="s">
        <v>3</v>
      </c>
      <c r="M58" s="105" t="s">
        <v>40</v>
      </c>
      <c r="N58" s="106"/>
      <c r="O58" s="84">
        <v>409.4</v>
      </c>
      <c r="P58" s="67"/>
    </row>
    <row r="59" spans="1:22" ht="16.149999999999999" customHeight="1" thickTop="1">
      <c r="C59" s="10"/>
      <c r="M59" s="109" t="s">
        <v>41</v>
      </c>
      <c r="N59" s="110"/>
      <c r="O59" s="90">
        <v>374</v>
      </c>
      <c r="P59" s="67"/>
    </row>
    <row r="60" spans="1:22" ht="16.149999999999999" customHeight="1" thickBot="1">
      <c r="C60" s="10"/>
      <c r="M60" s="111" t="s">
        <v>86</v>
      </c>
      <c r="N60" s="112"/>
      <c r="O60" s="85">
        <v>169.9</v>
      </c>
      <c r="P60" s="67"/>
    </row>
    <row r="61" spans="1:22" ht="16.149999999999999" customHeight="1" thickTop="1">
      <c r="M61" s="107"/>
      <c r="N61" s="107"/>
      <c r="O61" s="67"/>
      <c r="P61" s="67"/>
    </row>
    <row r="62" spans="1:22">
      <c r="C62" s="122"/>
      <c r="D62" s="122"/>
      <c r="E62" s="122"/>
      <c r="F62" s="122"/>
      <c r="G62" s="122"/>
      <c r="H62" s="50"/>
      <c r="M62" s="108"/>
      <c r="N62" s="108"/>
      <c r="T62" s="48"/>
    </row>
    <row r="63" spans="1:22">
      <c r="C63" s="16" t="s">
        <v>31</v>
      </c>
      <c r="D63" s="16">
        <v>8000</v>
      </c>
      <c r="E63" s="16" t="s">
        <v>35</v>
      </c>
    </row>
    <row r="64" spans="1:22">
      <c r="C64" s="16" t="s">
        <v>32</v>
      </c>
      <c r="D64" s="16">
        <v>1.2</v>
      </c>
      <c r="E64" s="16"/>
    </row>
    <row r="65" spans="3:13">
      <c r="C65" s="16" t="s">
        <v>33</v>
      </c>
      <c r="D65" s="16">
        <v>1.5</v>
      </c>
      <c r="E65" s="16"/>
    </row>
    <row r="66" spans="3:13">
      <c r="C66" s="16" t="s">
        <v>34</v>
      </c>
      <c r="D66" s="16">
        <v>200</v>
      </c>
      <c r="E66" s="16" t="s">
        <v>36</v>
      </c>
    </row>
    <row r="70" spans="3:13">
      <c r="I70" s="2"/>
      <c r="J70" s="2"/>
      <c r="K70" s="2"/>
      <c r="L70" s="2"/>
      <c r="M70" s="2"/>
    </row>
    <row r="71" spans="3:13">
      <c r="C71" s="3"/>
      <c r="D71" s="50"/>
      <c r="E71" s="50"/>
      <c r="F71" s="50"/>
      <c r="I71" s="2"/>
      <c r="J71" s="2"/>
      <c r="K71" s="2"/>
      <c r="L71" s="2"/>
      <c r="M71" s="2"/>
    </row>
    <row r="72" spans="3:13">
      <c r="C72" s="50"/>
      <c r="D72" s="50"/>
      <c r="E72" s="50"/>
      <c r="F72" s="50"/>
      <c r="I72" s="2"/>
      <c r="J72" s="2"/>
      <c r="K72" s="2"/>
      <c r="L72" s="2"/>
      <c r="M72" s="2"/>
    </row>
    <row r="73" spans="3:13">
      <c r="C73" s="51"/>
      <c r="D73" s="51"/>
      <c r="E73" s="51"/>
      <c r="F73" s="50"/>
      <c r="I73" s="2"/>
      <c r="J73" s="2"/>
      <c r="K73" s="2"/>
      <c r="L73" s="2"/>
      <c r="M73" s="2"/>
    </row>
    <row r="74" spans="3:13">
      <c r="C74" s="52"/>
      <c r="D74" s="52"/>
      <c r="E74" s="53"/>
      <c r="F74" s="50"/>
    </row>
    <row r="75" spans="3:13">
      <c r="C75" s="52"/>
      <c r="D75" s="52"/>
      <c r="E75" s="53"/>
      <c r="F75" s="50"/>
    </row>
    <row r="76" spans="3:13">
      <c r="C76" s="52"/>
      <c r="D76" s="52"/>
      <c r="E76" s="53"/>
      <c r="F76" s="50"/>
    </row>
    <row r="77" spans="3:13">
      <c r="C77" s="52"/>
      <c r="D77" s="52"/>
      <c r="E77" s="53"/>
      <c r="F77" s="50"/>
    </row>
    <row r="78" spans="3:13">
      <c r="C78" s="52"/>
      <c r="D78" s="52"/>
      <c r="E78" s="53"/>
      <c r="F78" s="50"/>
    </row>
    <row r="79" spans="3:13">
      <c r="C79" s="52"/>
      <c r="D79" s="52"/>
      <c r="E79" s="53"/>
      <c r="F79" s="50"/>
    </row>
    <row r="80" spans="3:13">
      <c r="C80" s="52"/>
      <c r="D80" s="52"/>
      <c r="E80" s="53"/>
      <c r="F80" s="50"/>
    </row>
    <row r="81" spans="3:6">
      <c r="C81" s="52"/>
      <c r="D81" s="52"/>
      <c r="E81" s="53"/>
      <c r="F81" s="50"/>
    </row>
    <row r="82" spans="3:6">
      <c r="C82" s="52"/>
      <c r="D82" s="52"/>
      <c r="E82" s="53"/>
      <c r="F82" s="50"/>
    </row>
    <row r="83" spans="3:6">
      <c r="C83" s="52"/>
      <c r="D83" s="52"/>
      <c r="E83" s="53"/>
      <c r="F83" s="50"/>
    </row>
    <row r="84" spans="3:6">
      <c r="C84" s="52"/>
      <c r="D84" s="52"/>
      <c r="E84" s="53"/>
      <c r="F84" s="50"/>
    </row>
    <row r="85" spans="3:6">
      <c r="C85" s="52"/>
      <c r="D85" s="52"/>
      <c r="E85" s="53"/>
      <c r="F85" s="50"/>
    </row>
    <row r="86" spans="3:6">
      <c r="C86" s="52"/>
      <c r="D86" s="52"/>
      <c r="E86" s="53"/>
      <c r="F86" s="50"/>
    </row>
    <row r="87" spans="3:6">
      <c r="C87" s="52"/>
      <c r="D87" s="52"/>
      <c r="E87" s="53"/>
      <c r="F87" s="50"/>
    </row>
    <row r="88" spans="3:6">
      <c r="C88" s="52"/>
      <c r="D88" s="54"/>
      <c r="E88" s="53"/>
      <c r="F88" s="50"/>
    </row>
    <row r="89" spans="3:6">
      <c r="C89" s="52"/>
      <c r="D89" s="52"/>
      <c r="E89" s="53"/>
      <c r="F89" s="50"/>
    </row>
    <row r="90" spans="3:6">
      <c r="C90" s="52"/>
      <c r="D90" s="52"/>
      <c r="E90" s="53"/>
      <c r="F90" s="50"/>
    </row>
    <row r="91" spans="3:6">
      <c r="C91" s="52"/>
      <c r="D91" s="52"/>
      <c r="E91" s="53"/>
      <c r="F91" s="50"/>
    </row>
  </sheetData>
  <autoFilter ref="A7:V48"/>
  <mergeCells count="22">
    <mergeCell ref="A2:P3"/>
    <mergeCell ref="A4:P5"/>
    <mergeCell ref="C62:G62"/>
    <mergeCell ref="A1:P1"/>
    <mergeCell ref="G57:I57"/>
    <mergeCell ref="A55:C55"/>
    <mergeCell ref="M54:N55"/>
    <mergeCell ref="M56:N56"/>
    <mergeCell ref="M57:N57"/>
    <mergeCell ref="A53:C53"/>
    <mergeCell ref="A54:C54"/>
    <mergeCell ref="P6:P7"/>
    <mergeCell ref="A6:A7"/>
    <mergeCell ref="C6:F6"/>
    <mergeCell ref="L6:M6"/>
    <mergeCell ref="N6:O6"/>
    <mergeCell ref="G58:I58"/>
    <mergeCell ref="M58:N58"/>
    <mergeCell ref="M61:N61"/>
    <mergeCell ref="M62:N62"/>
    <mergeCell ref="M59:N59"/>
    <mergeCell ref="M60:N60"/>
  </mergeCells>
  <phoneticPr fontId="0" type="noConversion"/>
  <printOptions horizontalCentered="1"/>
  <pageMargins left="0.75" right="0.19685039370078741" top="0.78740157480314965" bottom="0.19685039370078741" header="0" footer="0"/>
  <pageSetup paperSize="120" scale="70" orientation="landscape" horizontalDpi="4294967293" verticalDpi="4294967293" r:id="rId1"/>
  <headerFooter alignWithMargins="0"/>
  <ignoredErrors>
    <ignoredError sqref="I9 K11:K12 I12:I15 K17:K18 K15 K13 I23 I17" formula="1"/>
    <ignoredError sqref="D5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Rede ramificada</vt:lpstr>
      <vt:lpstr>DIAMETRO</vt:lpstr>
      <vt:lpstr>'Rede ramificada'!Titulos_de_impressao</vt:lpstr>
    </vt:vector>
  </TitlesOfParts>
  <Company>COSANPA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</dc:creator>
  <cp:lastModifiedBy>14893-8</cp:lastModifiedBy>
  <cp:lastPrinted>2018-10-16T19:24:26Z</cp:lastPrinted>
  <dcterms:created xsi:type="dcterms:W3CDTF">1998-09-16T13:26:26Z</dcterms:created>
  <dcterms:modified xsi:type="dcterms:W3CDTF">2018-10-16T20:00:00Z</dcterms:modified>
</cp:coreProperties>
</file>